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svatoslav/Desktop/Documents/"/>
    </mc:Choice>
  </mc:AlternateContent>
  <xr:revisionPtr revIDLastSave="0" documentId="13_ncr:1_{55E1FD07-65A0-8644-A38A-87C9F30B7F8A}" xr6:coauthVersionLast="40" xr6:coauthVersionMax="40" xr10:uidLastSave="{00000000-0000-0000-0000-000000000000}"/>
  <bookViews>
    <workbookView xWindow="920" yWindow="900" windowWidth="27440" windowHeight="15200" xr2:uid="{1725FF95-0B12-AB4F-BDBE-C5288B7DB4AA}"/>
  </bookViews>
  <sheets>
    <sheet name="МАРКЕРЫ" sheetId="1" r:id="rId1"/>
  </sheets>
  <externalReferences>
    <externalReference r:id="rId2"/>
    <externalReference r:id="rId3"/>
    <externalReference r:id="rId4"/>
  </externalReferences>
  <definedNames>
    <definedName name="а">"#REF!"</definedName>
    <definedName name="а_5">"#REF!"</definedName>
    <definedName name="БАТ" localSheetId="0">#REF!</definedName>
    <definedName name="БАТ">#REF!</definedName>
    <definedName name="БОКС">"#REF!"</definedName>
    <definedName name="БОКС_2">NA()</definedName>
    <definedName name="БОКС_3">NA()</definedName>
    <definedName name="БОКС_5">"#REF!"</definedName>
    <definedName name="БОКС_6">NA()</definedName>
    <definedName name="БОКС.">"#REF!"</definedName>
    <definedName name="БОКС._5">"#REF!"</definedName>
    <definedName name="БРОСКИ">"#REF!"</definedName>
    <definedName name="БРОСКИ_2">NA()</definedName>
    <definedName name="БРОСКИ_3">NA()</definedName>
    <definedName name="БРОСКИ_5">"#REF!"</definedName>
    <definedName name="БРОСКИ_6">NA()</definedName>
    <definedName name="ваа" localSheetId="0">#REF!</definedName>
    <definedName name="ваа">#REF!</definedName>
    <definedName name="дней" localSheetId="0">#REF!</definedName>
    <definedName name="дней">#REF!</definedName>
    <definedName name="ЗАХВАТ">"#REF!"</definedName>
    <definedName name="ЗАХВАТ_2">NA()</definedName>
    <definedName name="ЗАХВАТ_3">NA()</definedName>
    <definedName name="ЗАХВАТ_5">"#REF!"</definedName>
    <definedName name="ЗАХВАТ_6">NA()</definedName>
    <definedName name="коэф" localSheetId="0">#REF!</definedName>
    <definedName name="коэф">#REF!</definedName>
    <definedName name="КУРС">'[1]тай-я'!$A$13</definedName>
    <definedName name="КУРС_2" localSheetId="0">#REF!</definedName>
    <definedName name="КУРС_2">#REF!</definedName>
    <definedName name="КУРС_3" localSheetId="0">#REF!</definedName>
    <definedName name="КУРС_3">#REF!</definedName>
    <definedName name="КУРСД">'[1]тай-я'!$A$11</definedName>
    <definedName name="лл" localSheetId="0">#REF!</definedName>
    <definedName name="лл">#REF!</definedName>
    <definedName name="н" localSheetId="0">#REF!</definedName>
    <definedName name="н">#REF!</definedName>
    <definedName name="ОРУЖИЕ">"#REF!"</definedName>
    <definedName name="ОРУЖИЕ_2">NA()</definedName>
    <definedName name="ОРУЖИЕ_3">NA()</definedName>
    <definedName name="ОРУЖИЕ_5">"#REF!"</definedName>
    <definedName name="ОРУЖИЕ_6">NA()</definedName>
    <definedName name="ПАРТЕР">"#REF!"</definedName>
    <definedName name="ПАРТЕР_2">NA()</definedName>
    <definedName name="ПАРТЕР_3">NA()</definedName>
    <definedName name="ПАРТЕР_5">"#REF!"</definedName>
    <definedName name="ПАРТЕР_6">NA()</definedName>
    <definedName name="РУКИ_НОГИ">"#REF!"</definedName>
    <definedName name="РУКИ_НОГИ_2">NA()</definedName>
    <definedName name="РУКИ_НОГИ_3">NA()</definedName>
    <definedName name="РУКИ_НОГИ_5">"#REF!"</definedName>
    <definedName name="РУКИ_НОГИ_6">NA()</definedName>
    <definedName name="СЕКРЕТ">"#REF!"</definedName>
    <definedName name="СЕКРЕТ_2">NA()</definedName>
    <definedName name="СЕКРЕТ_3">NA()</definedName>
    <definedName name="СЕКРЕТ_5">"#REF!"</definedName>
    <definedName name="СЕКРЕТ_6">NA()</definedName>
    <definedName name="уу">[2]Лист4!$E$1</definedName>
    <definedName name="ш" localSheetId="0">#REF!</definedName>
    <definedName name="ш">#REF!</definedName>
    <definedName name="щ" localSheetId="0">#REF!</definedName>
    <definedName name="щ">#REF!</definedName>
    <definedName name="ыа" localSheetId="0">#REF!</definedName>
    <definedName name="ыа">#REF!</definedName>
    <definedName name="q" localSheetId="0">#REF!</definedName>
    <definedName name="q">#REF!</definedName>
    <definedName name="Z_A7FE682B_037C_5E4B_88B3_CD49923C6F32_.wvu.Cols" localSheetId="0" hidden="1">МАРКЕРЫ!$E:$J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1" l="1"/>
  <c r="K5" i="1"/>
  <c r="H6" i="1"/>
  <c r="H9" i="1"/>
  <c r="J9" i="1"/>
  <c r="K9" i="1"/>
  <c r="E12" i="1"/>
  <c r="G14" i="1"/>
  <c r="H14" i="1"/>
  <c r="I14" i="1"/>
  <c r="J14" i="1"/>
  <c r="K14" i="1"/>
  <c r="G15" i="1"/>
  <c r="H15" i="1"/>
  <c r="J15" i="1"/>
  <c r="K15" i="1"/>
  <c r="G16" i="1"/>
  <c r="H16" i="1"/>
  <c r="I16" i="1"/>
  <c r="J16" i="1"/>
  <c r="K16" i="1"/>
  <c r="G17" i="1"/>
  <c r="H17" i="1"/>
  <c r="I17" i="1"/>
  <c r="J17" i="1"/>
  <c r="K17" i="1"/>
  <c r="G18" i="1"/>
  <c r="H18" i="1"/>
  <c r="I18" i="1"/>
  <c r="J18" i="1"/>
  <c r="K18" i="1"/>
  <c r="G19" i="1"/>
  <c r="H19" i="1"/>
  <c r="I19" i="1"/>
  <c r="J19" i="1"/>
  <c r="K19" i="1"/>
  <c r="G20" i="1"/>
  <c r="H20" i="1"/>
  <c r="I20" i="1"/>
  <c r="J20" i="1"/>
  <c r="K20" i="1"/>
  <c r="G21" i="1"/>
  <c r="H21" i="1"/>
  <c r="J21" i="1"/>
  <c r="K21" i="1"/>
  <c r="G22" i="1"/>
  <c r="H22" i="1"/>
  <c r="J22" i="1"/>
  <c r="K22" i="1"/>
  <c r="G24" i="1"/>
  <c r="H24" i="1"/>
  <c r="J24" i="1"/>
  <c r="K24" i="1"/>
  <c r="G25" i="1"/>
  <c r="H25" i="1"/>
  <c r="I25" i="1"/>
  <c r="J25" i="1"/>
  <c r="K25" i="1"/>
  <c r="G26" i="1"/>
  <c r="H26" i="1"/>
  <c r="J26" i="1"/>
  <c r="K26" i="1"/>
  <c r="G28" i="1"/>
  <c r="H28" i="1"/>
  <c r="I28" i="1"/>
  <c r="J28" i="1"/>
  <c r="K28" i="1"/>
  <c r="G29" i="1"/>
  <c r="H29" i="1"/>
  <c r="I29" i="1"/>
  <c r="J29" i="1"/>
  <c r="K29" i="1"/>
  <c r="G30" i="1"/>
  <c r="H30" i="1"/>
  <c r="J30" i="1"/>
  <c r="K30" i="1"/>
  <c r="G31" i="1"/>
  <c r="H31" i="1"/>
  <c r="I31" i="1"/>
  <c r="J31" i="1"/>
  <c r="K31" i="1"/>
  <c r="G32" i="1"/>
  <c r="H32" i="1"/>
  <c r="I32" i="1"/>
  <c r="J32" i="1"/>
  <c r="K32" i="1"/>
  <c r="I33" i="1"/>
  <c r="F34" i="1"/>
  <c r="G34" i="1"/>
  <c r="H34" i="1"/>
  <c r="I34" i="1"/>
  <c r="K34" i="1"/>
  <c r="G35" i="1"/>
  <c r="H35" i="1"/>
  <c r="J35" i="1"/>
  <c r="K35" i="1"/>
  <c r="G36" i="1"/>
  <c r="H36" i="1"/>
  <c r="I36" i="1"/>
  <c r="J36" i="1"/>
  <c r="K36" i="1"/>
  <c r="G37" i="1"/>
  <c r="H37" i="1"/>
  <c r="I37" i="1"/>
  <c r="J37" i="1"/>
  <c r="K37" i="1"/>
  <c r="G38" i="1"/>
  <c r="H38" i="1"/>
  <c r="I38" i="1"/>
  <c r="J38" i="1"/>
  <c r="K38" i="1"/>
  <c r="G39" i="1"/>
  <c r="I39" i="1"/>
  <c r="J39" i="1"/>
  <c r="K39" i="1"/>
  <c r="G40" i="1"/>
  <c r="H40" i="1"/>
  <c r="I40" i="1"/>
  <c r="J40" i="1"/>
  <c r="K40" i="1"/>
  <c r="G41" i="1"/>
  <c r="I41" i="1"/>
  <c r="K41" i="1"/>
  <c r="G42" i="1"/>
  <c r="H42" i="1"/>
  <c r="I42" i="1"/>
  <c r="J42" i="1"/>
  <c r="K42" i="1"/>
  <c r="H44" i="1"/>
  <c r="J44" i="1"/>
  <c r="K44" i="1"/>
  <c r="G45" i="1"/>
  <c r="H45" i="1"/>
  <c r="I45" i="1"/>
  <c r="J45" i="1"/>
  <c r="K45" i="1"/>
  <c r="G46" i="1"/>
  <c r="H46" i="1"/>
  <c r="I46" i="1"/>
  <c r="K46" i="1"/>
  <c r="G47" i="1"/>
  <c r="H47" i="1"/>
  <c r="I47" i="1"/>
  <c r="J47" i="1"/>
  <c r="K47" i="1"/>
  <c r="G48" i="1"/>
  <c r="H48" i="1"/>
  <c r="I48" i="1"/>
  <c r="J48" i="1"/>
  <c r="K48" i="1"/>
  <c r="G49" i="1"/>
  <c r="H49" i="1"/>
  <c r="I49" i="1"/>
  <c r="J49" i="1"/>
  <c r="K49" i="1"/>
  <c r="H50" i="1"/>
  <c r="J34" i="1" s="1"/>
  <c r="J50" i="1"/>
  <c r="K50" i="1"/>
  <c r="B43" i="1" l="1"/>
  <c r="B33" i="1"/>
  <c r="B27" i="1"/>
  <c r="B23" i="1"/>
  <c r="B13" i="1"/>
  <c r="B12" i="1"/>
  <c r="G13" i="1" l="1"/>
  <c r="K13" i="1"/>
  <c r="H13" i="1"/>
  <c r="I13" i="1"/>
  <c r="J13" i="1"/>
  <c r="H23" i="1"/>
  <c r="G23" i="1"/>
  <c r="K23" i="1"/>
  <c r="G27" i="1"/>
  <c r="K27" i="1"/>
  <c r="H27" i="1"/>
  <c r="J27" i="1"/>
  <c r="I27" i="1"/>
  <c r="H39" i="1"/>
  <c r="G33" i="1"/>
  <c r="H33" i="1"/>
  <c r="K33" i="1" s="1"/>
  <c r="H12" i="1"/>
  <c r="K12" i="1"/>
  <c r="I12" i="1"/>
  <c r="J23" i="1"/>
  <c r="J12" i="1"/>
  <c r="G12" i="1"/>
  <c r="H43" i="1"/>
  <c r="K43" i="1"/>
  <c r="J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Пользователь Microsoft Office</author>
  </authors>
  <commentList>
    <comment ref="I18" authorId="0" shapeId="0" xr:uid="{BAD6ABF9-0629-0F44-BC23-129773CAE015}">
      <text>
        <r>
          <rPr>
            <b/>
            <sz val="10"/>
            <color indexed="81"/>
            <rFont val="Calibri"/>
            <family val="2"/>
          </rPr>
          <t xml:space="preserve">Methylmalonic acid concentration reflects intracellular vitamin stores and exhibits higher specificity for low vitamin B12 status than any other metabolite including homocysteine.
www.ncbi.nlm.nih.gov/pmc/articles/PMC2677500
Increased MMA was found even with vitamin B12 concentrations as high as 400 ng/L
http://clinchem.aaccjnls.org/content/46/8/1277.long
Однако сегодня нормой считается в медицине Референсные значения: 187-883 пг/мл. https://www.invitro.ru/analizes/for-doctors/487/2248
Но как видно на графике по ссылке https://d9aqs07uebq07.cloudfront.net/content/clinchem/46/8/1277/F1.large.jpg
В диапазоне по крайне мере до 400 нг/мл еще наблюдается повышенная метималоновая кислота. А как видно на графике по ссылкам https://www.ncbi.nlm.nih.gov/pubmed/11146329
https://sci-hub.hk/10.1159/000046689  - витамин б12 даже на уровне 450 нг/мл еще может быть при повышенном уровне метилмалоновой кислоты и только от 500 примерно -ОК
elevated methylmalonic acid concentrations (&gt;271 nmol/L)
https://www.ncbi.nlm.nih.gov/pmc/articles/PMC2677500/
In the mixed effects models to examine the associations of each biochemical marker with cognition separately, only serum methylmalonic acid was associated with global cognitive scores cross-sectionally in basic (β = −0.00033, SE = 0.0002, p = 0.03) and multiple adjusted models (β = −0.00036, SE = 0.0001, p = 0.01) (table 3).
https://www.ncbi.nlm.nih.gov/pmc/articles/PMC2677500/
</t>
        </r>
      </text>
    </comment>
    <comment ref="I19" authorId="0" shapeId="0" xr:uid="{14DF2526-5229-B641-B65E-72619A134058}">
      <text>
        <r>
          <rPr>
            <b/>
            <sz val="10"/>
            <color indexed="81"/>
            <rFont val="Calibri"/>
            <family val="2"/>
          </rPr>
          <t xml:space="preserve">Methylmalonic acid concentration reflects intracellular vitamin stores and exhibits higher specificity for low vitamin B12 status than any other metabolite including homocysteine.
www.ncbi.nlm.nih.gov/pmc/articles/PMC2677500
Increased MMA was found even with vitamin B12 concentrations as high as 400 ng/L
http://clinchem.aaccjnls.org/content/46/8/1277.long
Однако сегодня нормой считается в медицине Референсные значения: 187-883 пг/мл. https://www.invitro.ru/analizes/for-doctors/487/2248
Но как видно на графике по ссылке https://d9aqs07uebq07.cloudfront.net/content/clinchem/46/8/1277/F1.large.jpg
В диапазоне по крайне мере до 400 нг/мл еще наблюдается повышенная метималоновая кислота. А как видно на графике по ссылкам https://www.ncbi.nlm.nih.gov/pubmed/11146329
https://sci-hub.hk/10.1159/000046689  - витамин б12 даже на уровне 450 нг/мл еще может быть при повышенном уровне метилмалоновой кислоты и только от 500 примерно -ОК
elevated methylmalonic acid concentrations (&gt;271 nmol/L)
https://www.ncbi.nlm.nih.gov/pmc/articles/PMC2677500/
In the mixed effects models to examine the associations of each biochemical marker with cognition separately, only serum methylmalonic acid was associated with global cognitive scores cross-sectionally in basic (β = −0.00033, SE = 0.0002, p = 0.03) and multiple adjusted models (β = −0.00036, SE = 0.0001, p = 0.01) (table 3).
https://www.ncbi.nlm.nih.gov/pmc/articles/PMC2677500/
</t>
        </r>
      </text>
    </comment>
  </commentList>
</comments>
</file>

<file path=xl/sharedStrings.xml><?xml version="1.0" encoding="utf-8"?>
<sst xmlns="http://schemas.openxmlformats.org/spreadsheetml/2006/main" count="145" uniqueCount="125">
  <si>
    <t>ИССЛЕДОВАНИЕ</t>
  </si>
  <si>
    <t>Значение</t>
  </si>
  <si>
    <t>Единица измерения</t>
  </si>
  <si>
    <t>Норма Open Longevity</t>
  </si>
  <si>
    <t>Точное значение</t>
  </si>
  <si>
    <t>Отклонения</t>
  </si>
  <si>
    <t>Ниже нормы</t>
  </si>
  <si>
    <t>Выше нормы</t>
  </si>
  <si>
    <t>Комментарии</t>
  </si>
  <si>
    <t>Ваш возраст</t>
  </si>
  <si>
    <t>полных лет</t>
  </si>
  <si>
    <t>Ваш пол</t>
  </si>
  <si>
    <t>(1-мужчина; 2 - женщина)</t>
  </si>
  <si>
    <t>Систолическое артериальное давление</t>
  </si>
  <si>
    <t>Единиц ртутного столба</t>
  </si>
  <si>
    <t>110-120</t>
  </si>
  <si>
    <t>Ваше артериальное давление выше нормального. Повышение артериального давления ускоряет старение. Исследование от Института Профилактической Медицины Уолфсон 2003 года (Великобритания) свидетельствует, что препараты от артериального давления могут на ⅔ снижать риск инсульта и в два раза риск ишемической болезни сердца (www.ncbi.nlm.nih.gov/pubmed/14604498).
В 2003 году Бостонский Университет (США) предоставил седьмой доклад Объединенного Национального Комитета по профилактике, выявлению, оценке и лечению высокого кровяного давления. В рамках доклада показано, что начиная 115/75 мм РТ. ст., риск ССЗ удваивается для каждого прироста на 20/10 мм РТ. (www.ncbi.nlm.nih.gov/pubmed/14656957). Высокое артериальное давление – причина 18% всех случаев смерти в мире (2010 год) по данным ВОЗ. Снижение АД на 5 мм рт. ст. может снизить риск инсульта на 34%, риск смерти от ишемической болезни сердца на 21% и снизить вероятность деменции, сердечной недостаточности, смертности от сердечно-сосудистых заболеваний и почечной недостаточности.
www.who.int/healthinfo/global_burden_disease/GlobalHealthRisks_report_full.pdf</t>
  </si>
  <si>
    <t>Диастолическое артериальное давление</t>
  </si>
  <si>
    <t>70-80</t>
  </si>
  <si>
    <t>Ваш вес</t>
  </si>
  <si>
    <t>Килограмм</t>
  </si>
  <si>
    <t xml:space="preserve">Ваш рост </t>
  </si>
  <si>
    <t>Сантиметров</t>
  </si>
  <si>
    <t>Объем талии</t>
  </si>
  <si>
    <t>Женщины - менее 70 см, мужчины - менее 90 см</t>
  </si>
  <si>
    <t>Обхват шеи</t>
  </si>
  <si>
    <t>Объем бедер</t>
  </si>
  <si>
    <t>Индекс массы тела</t>
  </si>
  <si>
    <t>22,5–25 (до 65 лет), старше 65 лет ИМТ не корректен</t>
  </si>
  <si>
    <t>Процент жира</t>
  </si>
  <si>
    <t>%</t>
  </si>
  <si>
    <t>Женщины: 23-38% (35-55 лет), 25-38% (старше), 12-35% (младше) и
Мужчины: 10-25% (от 35 лет и старше), 5-22% (младше)</t>
  </si>
  <si>
    <t>Частота сердечных сокращений в покое</t>
  </si>
  <si>
    <t>уд/мин</t>
  </si>
  <si>
    <t>55 - 70</t>
  </si>
  <si>
    <t xml:space="preserve">Уровень тромбоцитов в общем анализе крови </t>
  </si>
  <si>
    <t>Тыс./мкл</t>
  </si>
  <si>
    <t>150-400</t>
  </si>
  <si>
    <t>Аланинаминотрансфераза (АЛТ)</t>
  </si>
  <si>
    <t>Ед.л</t>
  </si>
  <si>
    <t>17-30 (мужчины) и 14-30 (женщины)</t>
  </si>
  <si>
    <t>Альбумин</t>
  </si>
  <si>
    <t>Грамм/литр</t>
  </si>
  <si>
    <t>43-50</t>
  </si>
  <si>
    <t>Витамин Б12 (цианокобаламин)</t>
  </si>
  <si>
    <t>пг/мл</t>
  </si>
  <si>
    <t>500-814</t>
  </si>
  <si>
    <t>Активный витамин b12 (голотранскобаламин)</t>
  </si>
  <si>
    <t>пмоль/л</t>
  </si>
  <si>
    <t>122-250</t>
  </si>
  <si>
    <t>Витамин D (25-OH)</t>
  </si>
  <si>
    <t>нг/мл</t>
  </si>
  <si>
    <t>20-56</t>
  </si>
  <si>
    <t>Глюкоза в крови натощак</t>
  </si>
  <si>
    <t>ммоль/л</t>
  </si>
  <si>
    <t>4,1-5,9</t>
  </si>
  <si>
    <t>Инсулин в крови натощак</t>
  </si>
  <si>
    <t>мкЕд/мл</t>
  </si>
  <si>
    <t>2,7 — 10,4</t>
  </si>
  <si>
    <t>Индекс HOMA-IR</t>
  </si>
  <si>
    <t>&lt;=1,4</t>
  </si>
  <si>
    <t>Интерлейкин-6</t>
  </si>
  <si>
    <t>&lt;1,07</t>
  </si>
  <si>
    <t>Калий (К+)</t>
  </si>
  <si>
    <t>ммоль/л.</t>
  </si>
  <si>
    <t>3,5 до 4,5</t>
  </si>
  <si>
    <t>Креатинин</t>
  </si>
  <si>
    <t>мкмоль/л</t>
  </si>
  <si>
    <t>64-104 (мужч)      и 50-98 (женщ)</t>
  </si>
  <si>
    <t xml:space="preserve">СКФ (по формуле формула  MDRD)  </t>
  </si>
  <si>
    <t>мл/мин/1,73 м2</t>
  </si>
  <si>
    <t>90-108 (от 60 лет и старше) и не менее 60 (20-59 лет)</t>
  </si>
  <si>
    <t>Мочевая кислота</t>
  </si>
  <si>
    <t>210-363 (мужч)      и 150-280 (женщ)</t>
  </si>
  <si>
    <t>Соматомедин С (ИФР-1)</t>
  </si>
  <si>
    <t xml:space="preserve">105-130 (50-69 лет) 100-160 (18-49 лет) </t>
  </si>
  <si>
    <t>С-реактивный белок (ультра чувствительный)</t>
  </si>
  <si>
    <t>мг/л</t>
  </si>
  <si>
    <t>&lt;=1</t>
  </si>
  <si>
    <t>Т3 свободный</t>
  </si>
  <si>
    <t>2,8 – 6,45</t>
  </si>
  <si>
    <t>Т4 свободный</t>
  </si>
  <si>
    <t>11,5 – 22,7</t>
  </si>
  <si>
    <t>Отношение Т3 свободного к Т4 свободному</t>
  </si>
  <si>
    <t>МУЖ - 0,28-0,41;                           ЖЕНЩ - 0,27-0,37</t>
  </si>
  <si>
    <t>-</t>
  </si>
  <si>
    <t>ТТГ</t>
  </si>
  <si>
    <t>мЕд/л</t>
  </si>
  <si>
    <t>0,4-4,5 (до 65 лет)   и   0,4-7,15 (после 65 лет)</t>
  </si>
  <si>
    <t>Альфа-фетопротеин</t>
  </si>
  <si>
    <t>МЕ/мл</t>
  </si>
  <si>
    <t xml:space="preserve">   &lt;7,29</t>
  </si>
  <si>
    <t>Фолиевая кислота/фолаты</t>
  </si>
  <si>
    <t>3,0-17,0</t>
  </si>
  <si>
    <t>Уровень гемоглобина</t>
  </si>
  <si>
    <t>г/л</t>
  </si>
  <si>
    <t>119-146</t>
  </si>
  <si>
    <t>Железо в крови</t>
  </si>
  <si>
    <t>12,5-32,2</t>
  </si>
  <si>
    <t>Ферритин</t>
  </si>
  <si>
    <t>40-70</t>
  </si>
  <si>
    <t>Холестерин общий</t>
  </si>
  <si>
    <t>2,95 - 5,2</t>
  </si>
  <si>
    <t>Холестерин -ЛПВП</t>
  </si>
  <si>
    <t>&gt; 1,55</t>
  </si>
  <si>
    <t>Холестерин - ЛПНП</t>
  </si>
  <si>
    <t>1,8 - 2,6</t>
  </si>
  <si>
    <t>Индекс атерогенности</t>
  </si>
  <si>
    <t>&lt;2,34</t>
  </si>
  <si>
    <t>Гликированный гемоглобин (HbA1)</t>
  </si>
  <si>
    <t>&lt;5,7</t>
  </si>
  <si>
    <t>Литий в крови</t>
  </si>
  <si>
    <t>0,25 - 0,50</t>
  </si>
  <si>
    <t>Доля наивных Т-лимфоцитов (CD45RAhigh/CD27high)</t>
  </si>
  <si>
    <t>50 – 80</t>
  </si>
  <si>
    <t>Магний в крови</t>
  </si>
  <si>
    <t>0,95 - 1,03</t>
  </si>
  <si>
    <t>Гематокрит</t>
  </si>
  <si>
    <t>41-53 для мужчин и 36-46 для женщин</t>
  </si>
  <si>
    <t>ox-LDL (Окисленный липопротеин низкой плотности)</t>
  </si>
  <si>
    <t>МЕ/л</t>
  </si>
  <si>
    <t>26 - 117</t>
  </si>
  <si>
    <t>Дуплексное сканирование сонных артерий с определением толщины комплекса интима-медиа</t>
  </si>
  <si>
    <t>мм</t>
  </si>
  <si>
    <t>&lt;0,6 - по самому большому значению из двух артерий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</si>
</sst>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04"/>
      <scheme val="minor"/>
    </font>
    <font>
      <b/>
      <sz val="12"/>
      <color theme="1"/>
      <name val="Calibri"/>
      <family val="2"/>
      <charset val="204"/>
      <scheme val="minor"/>
    </font>
    <font>
      <b/>
      <sz val="14"/>
      <color theme="1"/>
      <name val="Calibri"/>
      <family val="2"/>
      <charset val="204"/>
      <scheme val="minor"/>
    </font>
    <font>
      <b/>
      <sz val="16"/>
      <color theme="1"/>
      <name val="Calibri"/>
      <family val="2"/>
      <charset val="204"/>
      <scheme val="minor"/>
    </font>
    <font>
      <u/>
      <sz val="11"/>
      <color theme="10"/>
      <name val="Calibri"/>
      <family val="2"/>
      <charset val="204"/>
      <scheme val="minor"/>
    </font>
    <font>
      <sz val="16"/>
      <color theme="1"/>
      <name val="Calibri"/>
      <family val="2"/>
      <charset val="204"/>
      <scheme val="minor"/>
    </font>
    <font>
      <b/>
      <sz val="14"/>
      <color theme="1"/>
      <name val="Calibri"/>
      <family val="2"/>
      <scheme val="minor"/>
    </font>
    <font>
      <b/>
      <sz val="12"/>
      <color theme="1"/>
      <name val="Calibri"/>
      <family val="2"/>
      <scheme val="minor"/>
    </font>
    <font>
      <b/>
      <sz val="10"/>
      <color indexed="8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0" fillId="0" borderId="1" xfId="0"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2" fillId="2" borderId="1" xfId="0"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protection locked="0"/>
    </xf>
    <xf numFmtId="2" fontId="1" fillId="2" borderId="1" xfId="0" applyNumberFormat="1"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3" fillId="2" borderId="0"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0" fillId="2" borderId="1" xfId="0" applyFill="1" applyBorder="1" applyAlignment="1" applyProtection="1">
      <alignment horizontal="left" vertical="center" wrapText="1"/>
    </xf>
    <xf numFmtId="0" fontId="6" fillId="2" borderId="1" xfId="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64" fontId="0" fillId="0" borderId="0" xfId="0" applyNumberFormat="1" applyFont="1" applyAlignment="1" applyProtection="1">
      <alignment horizontal="center" vertical="center" wrapText="1"/>
    </xf>
    <xf numFmtId="10" fontId="1" fillId="2" borderId="1"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2" borderId="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2"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1091;&#1073;&#1080;&#1090;&#1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1056;&#1040;&#1057;&#1063;&#1025;&#105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1"/>
      <sheetName val="Эстония (3)"/>
      <sheetName val="Эстони2016 (2)"/>
      <sheetName val="Лист6 (2)"/>
      <sheetName val="МОСКВА (2)"/>
      <sheetName val="МОСКВА"/>
      <sheetName val="реал"/>
      <sheetName val="Лист2"/>
      <sheetName val="Лист5"/>
      <sheetName val="1 (3)"/>
      <sheetName val="Лист1"/>
      <sheetName val="Лист1 (2)"/>
      <sheetName val="Эстония (2)"/>
      <sheetName val="ВЕБТРАНСФЕР"/>
      <sheetName val="вывод"/>
      <sheetName val="парол"/>
      <sheetName val="Лист4"/>
      <sheetName val="другие"/>
      <sheetName val="Лист3"/>
      <sheetName val="Лист7"/>
      <sheetName val="Лист6"/>
      <sheetName val="тай-я"/>
      <sheetName val=".."/>
      <sheetName val="Эстони2016"/>
      <sheetName val="Лист6 (3)"/>
      <sheetName val="Москва2016"/>
      <sheetName val="ШТРАФЫ"/>
      <sheetName val="КВАРТИРА ПРОДАЖА"/>
      <sheetName val="Лист8"/>
      <sheetName val="Диаграмма1"/>
      <sheetName val="Лист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1">
          <cell r="A11">
            <v>49.53</v>
          </cell>
        </row>
        <row r="13">
          <cell r="A13">
            <v>64.97999999999999</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5"/>
      <sheetName val="Лист3"/>
      <sheetName val="Лист4"/>
      <sheetName val="Лист4 (2)"/>
      <sheetName val="ГОТОВО"/>
      <sheetName val="ГОТОВО (2)"/>
      <sheetName val="Лист7"/>
    </sheetNames>
    <sheetDataSet>
      <sheetData sheetId="0"/>
      <sheetData sheetId="1"/>
      <sheetData sheetId="2">
        <row r="1">
          <cell r="E1">
            <v>919</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КЕРЫ"/>
      <sheetName val="Лист3"/>
      <sheetName val="БАЗА"/>
      <sheetName val="ЧТО МОЖНО(5)"/>
      <sheetName val="БАЗА(4)"/>
      <sheetName val="БАЗА(3)"/>
      <sheetName val="ВОПРОСЫ"/>
      <sheetName val="1-ый ЭТАП"/>
      <sheetName val="2-ой ЭТАП"/>
      <sheetName val="dorabot"/>
      <sheetName val="3-ий ЭТАП"/>
      <sheetName val="+"/>
      <sheetName val="-"/>
      <sheetName val="КОММЕНТАРИИ"/>
      <sheetName val="ПОЯСНЕНИЕ"/>
      <sheetName val="Комбинации"/>
      <sheetName val="Лист1"/>
      <sheetName val="Лист2"/>
      <sheetName val="Генетика рака"/>
    </sheetNames>
    <sheetDataSet>
      <sheetData sheetId="0"/>
      <sheetData sheetId="1"/>
      <sheetData sheetId="2"/>
      <sheetData sheetId="3"/>
      <sheetData sheetId="4"/>
      <sheetData sheetId="5"/>
      <sheetData sheetId="6">
        <row r="47">
          <cell r="F47">
            <v>2</v>
          </cell>
        </row>
        <row r="75">
          <cell r="F75">
            <v>2</v>
          </cell>
        </row>
        <row r="76">
          <cell r="F76">
            <v>2</v>
          </cell>
        </row>
        <row r="77">
          <cell r="F77">
            <v>2</v>
          </cell>
        </row>
        <row r="78">
          <cell r="F78">
            <v>2</v>
          </cell>
        </row>
        <row r="79">
          <cell r="F79">
            <v>2</v>
          </cell>
        </row>
        <row r="80">
          <cell r="F80">
            <v>2</v>
          </cell>
        </row>
        <row r="81">
          <cell r="F81">
            <v>2</v>
          </cell>
        </row>
        <row r="82">
          <cell r="F82">
            <v>2</v>
          </cell>
        </row>
        <row r="83">
          <cell r="F83">
            <v>2</v>
          </cell>
        </row>
        <row r="84">
          <cell r="F84">
            <v>2</v>
          </cell>
        </row>
        <row r="85">
          <cell r="F85">
            <v>2</v>
          </cell>
        </row>
        <row r="86">
          <cell r="F86">
            <v>2</v>
          </cell>
        </row>
        <row r="89">
          <cell r="F89">
            <v>2</v>
          </cell>
        </row>
        <row r="90">
          <cell r="F90">
            <v>2</v>
          </cell>
        </row>
        <row r="91">
          <cell r="F91">
            <v>2</v>
          </cell>
        </row>
        <row r="92">
          <cell r="F92">
            <v>2</v>
          </cell>
        </row>
        <row r="95">
          <cell r="F95">
            <v>2</v>
          </cell>
        </row>
        <row r="96">
          <cell r="F96">
            <v>2</v>
          </cell>
        </row>
        <row r="97">
          <cell r="F97">
            <v>2</v>
          </cell>
        </row>
        <row r="98">
          <cell r="F98">
            <v>2</v>
          </cell>
        </row>
        <row r="106">
          <cell r="F106">
            <v>2</v>
          </cell>
        </row>
        <row r="122">
          <cell r="F122">
            <v>2</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nestarenie.ru/vitamin-d3.html" TargetMode="External"/><Relationship Id="rId18" Type="http://schemas.openxmlformats.org/officeDocument/2006/relationships/hyperlink" Target="https://nestarenie.ru/kak-opredelit-2.html" TargetMode="External"/><Relationship Id="rId26" Type="http://schemas.openxmlformats.org/officeDocument/2006/relationships/hyperlink" Target="https://nestarenie.ru/protsent-zhira-2.html" TargetMode="External"/><Relationship Id="rId3" Type="http://schemas.openxmlformats.org/officeDocument/2006/relationships/hyperlink" Target="http://nestarenie.ru/ferritin.html" TargetMode="External"/><Relationship Id="rId21" Type="http://schemas.openxmlformats.org/officeDocument/2006/relationships/hyperlink" Target="http://nestarenie.ru/arterialnoe.html" TargetMode="External"/><Relationship Id="rId34" Type="http://schemas.openxmlformats.org/officeDocument/2006/relationships/hyperlink" Target="https://nestarenie.ru/okislennyiy-lpnp.html" TargetMode="External"/><Relationship Id="rId7" Type="http://schemas.openxmlformats.org/officeDocument/2006/relationships/hyperlink" Target="http://nestarenie.ru/holesterin.html" TargetMode="External"/><Relationship Id="rId12" Type="http://schemas.openxmlformats.org/officeDocument/2006/relationships/hyperlink" Target="http://nestarenie.ru/glikirovannyiy-gemoglobin.html" TargetMode="External"/><Relationship Id="rId17" Type="http://schemas.openxmlformats.org/officeDocument/2006/relationships/hyperlink" Target="http://nestarenie.ru/skf.html" TargetMode="External"/><Relationship Id="rId25" Type="http://schemas.openxmlformats.org/officeDocument/2006/relationships/hyperlink" Target="http://nestarenie.ru/glikirovannyiy-gemoglobin.html" TargetMode="External"/><Relationship Id="rId33" Type="http://schemas.openxmlformats.org/officeDocument/2006/relationships/hyperlink" Target="https://nestarenie.ru/gematokrit.html" TargetMode="External"/><Relationship Id="rId2" Type="http://schemas.openxmlformats.org/officeDocument/2006/relationships/hyperlink" Target="http://nestarenie.ru/albumin.html" TargetMode="External"/><Relationship Id="rId16" Type="http://schemas.openxmlformats.org/officeDocument/2006/relationships/hyperlink" Target="http://nestarenie.ru/vitamin-b12.html" TargetMode="External"/><Relationship Id="rId20" Type="http://schemas.openxmlformats.org/officeDocument/2006/relationships/hyperlink" Target="http://nestarenie.ru/arterialnoe.html" TargetMode="External"/><Relationship Id="rId29" Type="http://schemas.openxmlformats.org/officeDocument/2006/relationships/hyperlink" Target="https://nestarenie.ru/protsent-zhira-2.html" TargetMode="External"/><Relationship Id="rId1" Type="http://schemas.openxmlformats.org/officeDocument/2006/relationships/hyperlink" Target="http://nestarenie.ru/kaliy.html" TargetMode="External"/><Relationship Id="rId6" Type="http://schemas.openxmlformats.org/officeDocument/2006/relationships/hyperlink" Target="http://nestarenie.ru/trombotsitov-ranniy-marker-raka.html" TargetMode="External"/><Relationship Id="rId11" Type="http://schemas.openxmlformats.org/officeDocument/2006/relationships/hyperlink" Target="http://nestarenie.ru/interleykin-6.html" TargetMode="External"/><Relationship Id="rId24" Type="http://schemas.openxmlformats.org/officeDocument/2006/relationships/hyperlink" Target="http://nestarenie.ru/insulin.html" TargetMode="External"/><Relationship Id="rId32" Type="http://schemas.openxmlformats.org/officeDocument/2006/relationships/hyperlink" Target="https://nestarenie.ru/magniy.html" TargetMode="External"/><Relationship Id="rId5" Type="http://schemas.openxmlformats.org/officeDocument/2006/relationships/hyperlink" Target="http://nestarenie.ru/alt.html" TargetMode="External"/><Relationship Id="rId15" Type="http://schemas.openxmlformats.org/officeDocument/2006/relationships/hyperlink" Target="http://nestarenie.ru/chss.html" TargetMode="External"/><Relationship Id="rId23" Type="http://schemas.openxmlformats.org/officeDocument/2006/relationships/hyperlink" Target="http://nestarenie.ru/mochevaya-kislota.html" TargetMode="External"/><Relationship Id="rId28" Type="http://schemas.openxmlformats.org/officeDocument/2006/relationships/hyperlink" Target="https://nestarenie.ru/kak-opredelit-2.html" TargetMode="External"/><Relationship Id="rId36" Type="http://schemas.openxmlformats.org/officeDocument/2006/relationships/comments" Target="../comments1.xml"/><Relationship Id="rId10" Type="http://schemas.openxmlformats.org/officeDocument/2006/relationships/hyperlink" Target="http://nestarenie.ru/s-reaktivnyiy-belok.html" TargetMode="External"/><Relationship Id="rId19" Type="http://schemas.openxmlformats.org/officeDocument/2006/relationships/hyperlink" Target="http://nestarenie.ru/skf.html" TargetMode="External"/><Relationship Id="rId31" Type="http://schemas.openxmlformats.org/officeDocument/2006/relationships/hyperlink" Target="https://nestarenie.ru/dolya-naivnyih-t-limfotsitov.html" TargetMode="External"/><Relationship Id="rId4" Type="http://schemas.openxmlformats.org/officeDocument/2006/relationships/hyperlink" Target="http://nestarenie.ru/insulin.html" TargetMode="External"/><Relationship Id="rId9" Type="http://schemas.openxmlformats.org/officeDocument/2006/relationships/hyperlink" Target="http://nestarenie.ru/holesterin.html" TargetMode="External"/><Relationship Id="rId14" Type="http://schemas.openxmlformats.org/officeDocument/2006/relationships/hyperlink" Target="http://nestarenie.ru/ifr-1.html" TargetMode="External"/><Relationship Id="rId22" Type="http://schemas.openxmlformats.org/officeDocument/2006/relationships/hyperlink" Target="http://nestarenie.ru/kompleksa-intima-media.html" TargetMode="External"/><Relationship Id="rId27" Type="http://schemas.openxmlformats.org/officeDocument/2006/relationships/hyperlink" Target="https://nestarenie.ru/protsent-zhira-2.html" TargetMode="External"/><Relationship Id="rId30" Type="http://schemas.openxmlformats.org/officeDocument/2006/relationships/hyperlink" Target="https://nestarenie.ru/litiy-v-krovi.html" TargetMode="External"/><Relationship Id="rId35" Type="http://schemas.openxmlformats.org/officeDocument/2006/relationships/vmlDrawing" Target="../drawings/vmlDrawing1.vml"/><Relationship Id="rId8" Type="http://schemas.openxmlformats.org/officeDocument/2006/relationships/hyperlink" Target="http://nestarenie.ru/holesteri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304AA-78AA-8F4C-87A9-4F3A938A3392}">
  <dimension ref="A1:K50"/>
  <sheetViews>
    <sheetView tabSelected="1" zoomScaleNormal="100" workbookViewId="0">
      <pane xSplit="1" ySplit="2" topLeftCell="B23" activePane="bottomRight" state="frozen"/>
      <selection pane="topRight" activeCell="B1" sqref="B1"/>
      <selection pane="bottomLeft" activeCell="A3" sqref="A3"/>
      <selection pane="bottomRight" activeCell="E3" sqref="E3"/>
    </sheetView>
  </sheetViews>
  <sheetFormatPr baseColWidth="10" defaultRowHeight="15" outlineLevelCol="1" x14ac:dyDescent="0.2"/>
  <cols>
    <col min="1" max="1" width="20.33203125" style="3" customWidth="1"/>
    <col min="2" max="2" width="11.6640625" style="3" bestFit="1" customWidth="1"/>
    <col min="3" max="3" width="12.33203125" style="3" customWidth="1"/>
    <col min="4" max="4" width="18.1640625" style="3" bestFit="1" customWidth="1"/>
    <col min="5" max="5" width="18.33203125" style="3" hidden="1" customWidth="1" outlineLevel="1"/>
    <col min="6" max="7" width="14.83203125" style="3" hidden="1" customWidth="1" outlineLevel="1"/>
    <col min="8" max="8" width="15.83203125" style="3" hidden="1" customWidth="1" outlineLevel="1"/>
    <col min="9" max="9" width="78" style="2" hidden="1" customWidth="1" outlineLevel="1"/>
    <col min="10" max="10" width="76.33203125" style="2" hidden="1" customWidth="1" outlineLevel="1"/>
    <col min="11" max="11" width="54.6640625" style="40" customWidth="1" collapsed="1"/>
    <col min="12" max="16384" width="10.83203125" style="3"/>
  </cols>
  <sheetData>
    <row r="1" spans="1:11" ht="19" customHeight="1" x14ac:dyDescent="0.2">
      <c r="A1" s="43" t="s">
        <v>0</v>
      </c>
      <c r="B1" s="44" t="s">
        <v>1</v>
      </c>
      <c r="C1" s="44" t="s">
        <v>2</v>
      </c>
      <c r="D1" s="44" t="s">
        <v>3</v>
      </c>
      <c r="E1" s="1" t="s">
        <v>4</v>
      </c>
      <c r="F1" s="1" t="s">
        <v>5</v>
      </c>
      <c r="G1" s="1" t="s">
        <v>6</v>
      </c>
      <c r="H1" s="1" t="s">
        <v>7</v>
      </c>
      <c r="K1" s="45" t="s">
        <v>8</v>
      </c>
    </row>
    <row r="2" spans="1:11" ht="21" x14ac:dyDescent="0.2">
      <c r="A2" s="43"/>
      <c r="B2" s="44"/>
      <c r="C2" s="44"/>
      <c r="D2" s="44"/>
      <c r="E2" s="4"/>
      <c r="F2" s="47"/>
      <c r="G2" s="48"/>
      <c r="H2" s="49"/>
      <c r="K2" s="46"/>
    </row>
    <row r="3" spans="1:11" ht="21" x14ac:dyDescent="0.2">
      <c r="A3" s="5" t="s">
        <v>9</v>
      </c>
      <c r="B3" s="6"/>
      <c r="C3" s="7" t="s">
        <v>10</v>
      </c>
      <c r="D3" s="7"/>
      <c r="E3" s="8"/>
      <c r="F3" s="9"/>
      <c r="G3" s="10"/>
      <c r="H3" s="11"/>
      <c r="I3" s="12"/>
      <c r="J3" s="12"/>
      <c r="K3" s="13"/>
    </row>
    <row r="4" spans="1:11" ht="51" x14ac:dyDescent="0.2">
      <c r="A4" s="5" t="s">
        <v>11</v>
      </c>
      <c r="B4" s="6"/>
      <c r="C4" s="7" t="s">
        <v>12</v>
      </c>
      <c r="D4" s="7"/>
      <c r="E4" s="8"/>
      <c r="F4" s="9"/>
      <c r="G4" s="10"/>
      <c r="H4" s="11"/>
      <c r="I4" s="12"/>
      <c r="J4" s="12"/>
      <c r="K4" s="13"/>
    </row>
    <row r="5" spans="1:11" ht="240" x14ac:dyDescent="0.2">
      <c r="A5" s="14" t="s">
        <v>13</v>
      </c>
      <c r="B5" s="6"/>
      <c r="C5" s="15" t="s">
        <v>14</v>
      </c>
      <c r="D5" s="7" t="s">
        <v>15</v>
      </c>
      <c r="E5" s="16"/>
      <c r="F5" s="17"/>
      <c r="G5" s="17"/>
      <c r="H5" s="11" t="str">
        <f>IF(B5="","",IF(B5&gt;120,1,""))</f>
        <v/>
      </c>
      <c r="I5" s="12"/>
      <c r="J5" s="12" t="s">
        <v>16</v>
      </c>
      <c r="K5" s="41" t="str">
        <f>IF(SUM(B6)=0,"",IF(AND(H5="",H6=""),"",J5))</f>
        <v/>
      </c>
    </row>
    <row r="6" spans="1:11" ht="149" customHeight="1" x14ac:dyDescent="0.2">
      <c r="A6" s="14" t="s">
        <v>17</v>
      </c>
      <c r="B6" s="6"/>
      <c r="C6" s="15" t="s">
        <v>14</v>
      </c>
      <c r="D6" s="7" t="s">
        <v>18</v>
      </c>
      <c r="E6" s="16"/>
      <c r="F6" s="17"/>
      <c r="G6" s="17"/>
      <c r="H6" s="11" t="str">
        <f>IF(B6="","",IF(B6&gt;80,1,""))</f>
        <v/>
      </c>
      <c r="I6" s="12"/>
      <c r="J6" s="12"/>
      <c r="K6" s="42"/>
    </row>
    <row r="7" spans="1:11" ht="21" x14ac:dyDescent="0.2">
      <c r="A7" s="5" t="s">
        <v>19</v>
      </c>
      <c r="B7" s="18"/>
      <c r="C7" s="19" t="s">
        <v>20</v>
      </c>
      <c r="D7" s="19"/>
      <c r="E7" s="16"/>
      <c r="F7" s="17"/>
      <c r="G7" s="16"/>
      <c r="H7" s="17"/>
      <c r="I7" s="12"/>
      <c r="J7" s="12"/>
      <c r="K7" s="20"/>
    </row>
    <row r="8" spans="1:11" ht="34" x14ac:dyDescent="0.2">
      <c r="A8" s="5" t="s">
        <v>21</v>
      </c>
      <c r="B8" s="18"/>
      <c r="C8" s="19" t="s">
        <v>22</v>
      </c>
      <c r="D8" s="19"/>
      <c r="E8" s="16"/>
      <c r="F8" s="17"/>
      <c r="G8" s="16"/>
      <c r="H8" s="17"/>
      <c r="I8" s="12"/>
      <c r="J8" s="12"/>
      <c r="K8" s="20"/>
    </row>
    <row r="9" spans="1:11" ht="304" customHeight="1" x14ac:dyDescent="0.2">
      <c r="A9" s="21" t="s">
        <v>23</v>
      </c>
      <c r="B9" s="18"/>
      <c r="C9" s="19" t="s">
        <v>22</v>
      </c>
      <c r="D9" s="19" t="s">
        <v>24</v>
      </c>
      <c r="E9" s="16"/>
      <c r="F9" s="22"/>
      <c r="G9" s="23"/>
      <c r="H9" s="23" t="str">
        <f>IF(B9="","",IF(AND(B4=1,B9&gt;89),1,IF(AND(B4=2,B9&gt;69),1,"")))</f>
        <v/>
      </c>
      <c r="I9" s="12"/>
      <c r="J9" s="12" t="str">
        <f>CONCATENATE("Ваш размер талии ",B9," см. - выше нормы. Избыточный вес ускоряет старение и связан с риском смертности от возраст-зависимых заболеваний, в том числе от Сердечно Сосудистых заболеваний."," Так, повышение смертности на 50% выявлена в группе мужчин, чей обхват талии был минимум 110 см, по сравнению с группой муж- чин, у которых размер талии составлял менее 90 см. Обхват"," женской талии 95 см и больше повышал риск ранней смертности на 80% по сравнению с женщинами с окружностью талии менее 70 см. Разница между ожидаемой"," продолжительностью жизни у мужчин с максимальной и минимальной окружностью талии составила 3 года, у женщин — 5 лет. Авторы исследования обнаружили также, что увеличение"," объёма на каждые 5 см сокращает жизнь на 7% у представителей мужского пола и примерно на 9% — женского (https://jamanetwork.com/journals/jama/fullarticle/200731). ","Рекомендуется обратиться к терапевту и диетологу для консультации,"," либо практиковать одну из диет, предлагаемых Open Longevity")</f>
        <v>Ваш размер талии  см. - выше нормы. Избыточный вес ускоряет старение и связан с риском смертности от возраст-зависимых заболеваний, в том числе от Сердечно Сосудистых заболеваний. Так, повышение смертности на 50% выявлена в группе мужчин, чей обхват талии был минимум 110 см, по сравнению с группой муж- чин, у которых размер талии составлял менее 90 см. Обхват женской талии 95 см и больше повышал риск ранней смертности на 80% по сравнению с женщинами с окружностью талии менее 70 см. Разница между ожидаемой продолжительностью жизни у мужчин с максимальной и минимальной окружностью талии составила 3 года, у женщин — 5 лет. Авторы исследования обнаружили также, что увеличение объёма на каждые 5 см сокращает жизнь на 7% у представителей мужского пола и примерно на 9% — женского (https://jamanetwork.com/journals/jama/fullarticle/200731). Рекомендуется обратиться к терапевту и диетологу для консультации, либо практиковать одну из диет, предлагаемых Open Longevity</v>
      </c>
      <c r="K9" s="20" t="str">
        <f>IF(SUM(B9)=0,"",IF(AND(H9="",G9=""),"",IF(G9="",J9,I9)))</f>
        <v/>
      </c>
    </row>
    <row r="10" spans="1:11" ht="34" x14ac:dyDescent="0.2">
      <c r="A10" s="21" t="s">
        <v>25</v>
      </c>
      <c r="B10" s="18"/>
      <c r="C10" s="19" t="s">
        <v>22</v>
      </c>
      <c r="D10" s="19"/>
      <c r="E10" s="16"/>
      <c r="F10" s="22"/>
      <c r="G10" s="24"/>
      <c r="H10" s="25"/>
      <c r="I10" s="12"/>
      <c r="J10" s="12"/>
      <c r="K10" s="20"/>
    </row>
    <row r="11" spans="1:11" ht="34" x14ac:dyDescent="0.2">
      <c r="A11" s="21" t="s">
        <v>26</v>
      </c>
      <c r="B11" s="18"/>
      <c r="C11" s="19" t="s">
        <v>22</v>
      </c>
      <c r="D11" s="19"/>
      <c r="E11" s="16"/>
      <c r="F11" s="22"/>
      <c r="G11" s="24"/>
      <c r="H11" s="25"/>
      <c r="I11" s="12"/>
      <c r="J11" s="12"/>
      <c r="K11" s="20"/>
    </row>
    <row r="12" spans="1:11" ht="200" customHeight="1" x14ac:dyDescent="0.2">
      <c r="A12" s="21" t="s">
        <v>27</v>
      </c>
      <c r="B12" s="26" t="str">
        <f>IF(OR(SUM(B7)=0,SUM(B8)=0),"",ROUND(E12,1))</f>
        <v/>
      </c>
      <c r="C12" s="26"/>
      <c r="D12" s="19" t="s">
        <v>28</v>
      </c>
      <c r="E12" s="27" t="e">
        <f>B7/((B8/100)*(B8/100))</f>
        <v>#DIV/0!</v>
      </c>
      <c r="F12" s="28"/>
      <c r="G12" s="24" t="str">
        <f>IF(B12="","",IF(B12&lt;22.5,1,""))</f>
        <v/>
      </c>
      <c r="H12" s="23" t="str">
        <f>IF(B12="","",IF(B12&gt;24.9,1,""))</f>
        <v/>
      </c>
      <c r="I12" s="29" t="str">
        <f>CONCATENATE("У Вас низкий индекс массы тела ",B12,". Низкий Индекс Массы Тела связан с повышенным риском смертности."," В том числе из-за дефицита мышечной массы с возрастом (саркопения). Рекомендуются физические упражнения для тренировки мышечной массы. Национальный Центр"," Статистики Здравоохранения (США) 2005 год (www.ncbi.nlm.nih.gov/pubmed/15840860), также по данным Оксфордского Университета (Великобритания 2009 год)")</f>
        <v>У Вас низкий индекс массы тела . Низкий Индекс Массы Тела связан с повышенным риском смертности. В том числе из-за дефицита мышечной массы с возрастом (саркопения). Рекомендуются физические упражнения для тренировки мышечной массы. Национальный Центр Статистики Здравоохранения (США) 2005 год (www.ncbi.nlm.nih.gov/pubmed/15840860), также по данным Оксфордского Университета (Великобритания 2009 год)</v>
      </c>
      <c r="J12" s="12" t="str">
        <f>CONCATENATE("Ваш индекс массы тела ",B12," - выше нормы. Избыточный вес ускоряет старение и связан с риском смертности от возраст-зависимых заболеваний, в том числе от Сердечно Сосудистых заболеваний."," В некоторых исследованиях ИМТ даже до 30 не повышает риск смертности от"," ССЗ. Это связано с тем, что более худые люди курят (а курение - это риск ССЗ), а когда бросают курить,"," то поправляются. После коррекции на фактор курения безопасный ИМТ не превышает 25."," По данным исследования 2015 года Бостонского Университета  (www.ncbi.nlm.nih.gov/pubmed/26421898)"," Рекомендуется обратиться к терапевту и диетологу для консультации,"," либо практиковать одну из диет, предлагаемых Open Longevity")</f>
        <v>Ваш индекс массы тела  - выше нормы. Избыточный вес ускоряет старение и связан с риском смертности от возраст-зависимых заболеваний, в том числе от Сердечно Сосудистых заболеваний. В некоторых исследованиях ИМТ даже до 30 не повышает риск смертности от ССЗ. Это связано с тем, что более худые люди курят (а курение - это риск ССЗ), а когда бросают курить, то поправляются. После коррекции на фактор курения безопасный ИМТ не превышает 25. По данным исследования 2015 года Бостонского Университета  (www.ncbi.nlm.nih.gov/pubmed/26421898) Рекомендуется обратиться к терапевту и диетологу для консультации, либо практиковать одну из диет, предлагаемых Open Longevity</v>
      </c>
      <c r="K12" s="20" t="str">
        <f>IF(SUM(B12)=0,"",IF(SUM(B3)&gt;=65,"По данным 2018 года (Великобритания) после 65 лет Индекс Массы Тела не корректен для определения норм веса тела. У людей от 65 лет и старше ожирение нужно определять по обхвату талии (www.ncbi.nlm.nih.gov/pubmed/29300433)",IF(AND(H12="",G12=""),"",IF(G12="",J12,I12))))</f>
        <v/>
      </c>
    </row>
    <row r="13" spans="1:11" ht="143" customHeight="1" x14ac:dyDescent="0.2">
      <c r="A13" s="21" t="s">
        <v>29</v>
      </c>
      <c r="B13" s="30" t="str">
        <f>IF((IF(OR(COUNTA(B3,B7:B10)=5,COUNTA(B3,B7:B11)=6),1,0))&lt;&gt;1,"",(IF(SUM(B4)=1,ROUND((((1.2*B12)+(0.23*B3)-(10.8*IF(SUM(B4)=1,1,(IF(SUM(B4)=2,0,""))))-5.4)*(86.01*LOG(B9-B10)-70.041*LOG(B8)+30.3)*((-98.42+(4.15*B9/2.54)-(0.082*(B7/0.454)))/(B7/0.454)*100))^(1/3),2)/100,(IF(SUM(B4)=2,ROUND((((1.2*B12)+(0.23*B3)-(10.8*IF(SUM(B4)=1,1,(IF(SUM(B4)=2,0,""))))-5.4)*(163.205*LOG(B9+B11-B10)-97.684*LOG(B8)-104.912)*((-76.76+(4.15*B9/2.54)-(0.082*(B7/0.454)))/(B7/0.454)*100))^(1/3),2)/100)))))</f>
        <v/>
      </c>
      <c r="C13" s="26" t="s">
        <v>30</v>
      </c>
      <c r="D13" s="19" t="s">
        <v>31</v>
      </c>
      <c r="E13" s="31"/>
      <c r="F13" s="28"/>
      <c r="G13" s="24" t="str">
        <f>IF(AND(SUM(B4)=2,SUM(B3)&gt;55,SUM(B13)&lt;0.25),1,IF(AND(SUM(B4)=2,SUM(B3)&lt;=55,SUM(B3)&gt;=35,SUM(B13)&lt;0.23),1,IF(AND(SUM(B4)=2,SUM(B3)&lt;35,SUM(B13)&lt;0.12),1,IF(AND(SUM(B4)=1,SUM(B3)&gt;=35,SUM(B13)&lt;0.1),1,IF(AND(SUM(B4)=1,SUM(B3)&lt;35,SUM(B13)&lt;0.05),1,"")))))</f>
        <v/>
      </c>
      <c r="H13" s="23" t="str">
        <f>IF(AND(SUM(B4)=2,SUM(B3)&gt;55,SUM(B13)&gt;0.38),1,IF(AND(SUM(B4)=2,SUM(B3)&lt;=55,SUM(B3)&gt;=35,SUM(B13)&gt;0.38),1,IF(AND(SUM(B4)=2,SUM(B3)&lt;35,SUM(B13)&gt;0.35),1,IF(AND(SUM(B4)=1,SUM(B3)&gt;=35,SUM(B13)&gt;0.25),1,IF(AND(SUM(B4)=1,SUM(B3)&lt;35,SUM(B13)&gt;0.22),1,"")))))</f>
        <v/>
      </c>
      <c r="I13" s="29" t="e">
        <f>CONCATENATE("У Вас слишком низкий процент жира - ",B13*100,"%")</f>
        <v>#VALUE!</v>
      </c>
      <c r="J13" s="12" t="e">
        <f>CONCATENATE("У Вас слишком высокий процент жира - ",B13*100,"%. Избыток жировой массы вреден для здоровья и повышает риск смертности от ССЗ и рака (www.ncbi.nlm.nih.gov/pmc/articles/PMC6028901). ","Рекомендуется по назначению врача рассмотреть возможность питаться в соответствии с принципами диеты Open Longevity, ","а также заниматься силовыми упражнениями для увеличения объема мышечно массы")</f>
        <v>#VALUE!</v>
      </c>
      <c r="K13" s="20" t="str">
        <f t="shared" ref="K13:K32" si="0">IF(SUM(B13)=0,"",IF(AND(H13="",G13=""),"",IF(G13="",J13,I13)))</f>
        <v/>
      </c>
    </row>
    <row r="14" spans="1:11" ht="296" customHeight="1" x14ac:dyDescent="0.2">
      <c r="A14" s="14" t="s">
        <v>32</v>
      </c>
      <c r="B14" s="32"/>
      <c r="C14" s="19" t="s">
        <v>33</v>
      </c>
      <c r="D14" s="19" t="s">
        <v>34</v>
      </c>
      <c r="E14" s="22"/>
      <c r="F14" s="28"/>
      <c r="G14" s="24" t="str">
        <f>IF(B14="","",IF(B14&lt;55,1,""))</f>
        <v/>
      </c>
      <c r="H14" s="23" t="str">
        <f>IF(B14="","",IF(B14&gt;70,1,""))</f>
        <v/>
      </c>
      <c r="I14" s="12" t="str">
        <f>CONCATENATE("У Вас пониженная Частоста Сердечных Сокращений - ",B14,". Рекомендация обратиться к кардиологу для консультации")</f>
        <v>У Вас пониженная Частоста Сердечных Сокращений - . Рекомендация обратиться к кардиологу для консультации</v>
      </c>
      <c r="J14" s="12" t="str">
        <f>CONCATENATE("У Вас повышенная Частоста Сердечных Сокращений - ",B14," уд/мин. Исследование 2015 года, проведённое совместно Йельской школой медицины (США) и Университетом Граца (Австрия),"," показало, что по сравнению с ЧСС 65 уд/мин риск смерти"," увеличивается монотонно на каждые 10 удар/мин."," Так риск смерти при ЧСС 75 уд/мин был выше на 30%. Риск смерти при ЧСС 125 уд/мин выше в 4.78 раза"," (www.ncbi.nlm.nih.gov/pubmed/24445263) и (www.ncbi.nlm.nih.gov/pubmed/12919238).","   Совместное рандомизированное плацебо-контролируемое исследование 2010 года,"," проведенное учеными из ряда стран Европы, подтвердило важность снижение ЧСС медикаментозно для улучшения"," клинических исходов при сердечной недостаточности.","
(www.ncbi.nlm.nih.gov/pubmed/20801500) Длительные тренировки на выносливость"," (150 минут в неделю с интенсивностью на 60% от"," максимального потребления кислорода) снижают ЧСС"," и смертность. 2003 год Университет им. Саймона Фрейзера (Канада)"," (www.ncbi.nlm.nih.gov/pubmed/12477376)")</f>
        <v>У Вас повышенная Частоста Сердечных Сокращений -  уд/мин. Исследование 2015 года, проведённое совместно Йельской школой медицины (США) и Университетом Граца (Австрия), показало, что по сравнению с ЧСС 65 уд/мин риск смерти увеличивается монотонно на каждые 10 удар/мин. Так риск смерти при ЧСС 75 уд/мин был выше на 30%. Риск смерти при ЧСС 125 уд/мин выше в 4.78 раза (www.ncbi.nlm.nih.gov/pubmed/24445263) и (www.ncbi.nlm.nih.gov/pubmed/12919238).   Совместное рандомизированное плацебо-контролируемое исследование 2010 года, проведенное учеными из ряда стран Европы, подтвердило важность снижение ЧСС медикаментозно для улучшения клинических исходов при сердечной недостаточности.
(www.ncbi.nlm.nih.gov/pubmed/20801500) Длительные тренировки на выносливость (150 минут в неделю с интенсивностью на 60% от максимального потребления кислорода) снижают ЧСС и смертность. 2003 год Университет им. Саймона Фрейзера (Канада) (www.ncbi.nlm.nih.gov/pubmed/12477376)</v>
      </c>
      <c r="K14" s="20" t="str">
        <f t="shared" si="0"/>
        <v/>
      </c>
    </row>
    <row r="15" spans="1:11" ht="284" customHeight="1" x14ac:dyDescent="0.2">
      <c r="A15" s="14" t="s">
        <v>35</v>
      </c>
      <c r="B15" s="32"/>
      <c r="C15" s="19" t="s">
        <v>36</v>
      </c>
      <c r="D15" s="19" t="s">
        <v>37</v>
      </c>
      <c r="E15" s="16"/>
      <c r="F15" s="17"/>
      <c r="G15" s="24" t="str">
        <f>IF(B15="","",IF(B15&lt;150,1,""))</f>
        <v/>
      </c>
      <c r="H15" s="23" t="str">
        <f>IF(B15="","",IF(B15&gt;400,1,""))</f>
        <v/>
      </c>
      <c r="I15" s="12"/>
      <c r="J15" s="12" t="str">
        <f>CONCATENATE("Ваш уровень тромбоцитов ",B15," тыс/мкл. - выше нормы. Пациенты у которых был выявлен повышенный выше нормы уровень тромбоцитов"," в общем анализе крови, имели больший риск того, что у них в течение ближайшего года будет"," выявлено злокачественное новообразование (рак легких или колоректальный рак) – это произошло у 11% мужчин и у 6% женщин с тромбоцитозом. Риск"," особенно увеличивался в тех случаях, если тромбоцитоз обнаруживался хотя бы два раза за 6 месяцев. При этом"," принципиально важно, что среди тех пациентов, у которых впоследствии был выявлен рак легких или колоректальный рак, у"," примерно трети отсутствовали какие-либо другие симптомы, которые могли бы заставить их"," обратиться за помощью. 
По данным исследования 2017 года Университета Эксетера (Великобритания)","
www.ncbi.nlm.nih.gov/pubmed/28533199","
Рекомендуется консультация онколога")</f>
        <v>Ваш уровень тромбоцитов  тыс/мкл. - выше нормы. Пациенты у которых был выявлен повышенный выше нормы уровень тромбоцитов в общем анализе крови, имели больший риск того, что у них в течение ближайшего года будет выявлено злокачественное новообразование (рак легких или колоректальный рак) – это произошло у 11% мужчин и у 6% женщин с тромбоцитозом. Риск особенно увеличивался в тех случаях, если тромбоцитоз обнаруживался хотя бы два раза за 6 месяцев. При этом принципиально важно, что среди тех пациентов, у которых впоследствии был выявлен рак легких или колоректальный рак, у примерно трети отсутствовали какие-либо другие симптомы, которые могли бы заставить их обратиться за помощью. 
По данным исследования 2017 года Университета Эксетера (Великобритания)
www.ncbi.nlm.nih.gov/pubmed/28533199
Рекомендуется консультация онколога</v>
      </c>
      <c r="K15" s="20" t="str">
        <f t="shared" si="0"/>
        <v/>
      </c>
    </row>
    <row r="16" spans="1:11" ht="322" customHeight="1" x14ac:dyDescent="0.2">
      <c r="A16" s="33" t="s">
        <v>38</v>
      </c>
      <c r="B16" s="34"/>
      <c r="C16" s="35" t="s">
        <v>39</v>
      </c>
      <c r="D16" s="19" t="s">
        <v>40</v>
      </c>
      <c r="E16" s="16"/>
      <c r="F16" s="17"/>
      <c r="G16" s="24" t="str">
        <f>IF(B16="","",IF(B16&lt;14,1,""))</f>
        <v/>
      </c>
      <c r="H16" s="23" t="str">
        <f>IF(B16="","",IF(B16&gt;30,1,""))</f>
        <v/>
      </c>
      <c r="I16" s="12" t="str">
        <f>CONCATENATE("У Вас низкий уровень АЛТ - ",B16," Ед.л. Аланинаминотрансфераза (АЛТ)"," синтезируется внутриклеточно, и в норме лишь небольшая часть этого фермента попадает в кровь."," Снижение АЛТ с возрастом связано с уменьшением количества клеток печени — с её старением. ","Низкий уровень АЛТ связан с повышением слабости"," и смертности от всех причин у пожилых людей, у молодых и"," у людей среднего возраста. АЛТ ниже 17  Ед.л у мужчин и 14  Ед.л у женщин повышает риск смертности от всех причин."," После 50 лет количество клеток печени уменьшается, и уменьшается синтезируемый ими АЛТ.      ","(www.ncbi.nlm.nih.gov/pubmed/22158663) (www.ncbi.nlm.nih.gov/pmc/articles/PMC4085878)","(www.ncbi.nlm.nih.gov/pubmed/16181369) (www.ncbi.nlm.nih.gov/pmc/articles/PMC4085878)"," (www.ncbi.nlm.nih.gov/pubmed/16181369) (www.ncbi.nlm.nih.gov/pmc/articles/PMC4972366)"," Рекомендуются аэробные нагрузки (плавание, бег трусцой, длительная быстрая ходьба в объеме 120-150 минут в неделю)")</f>
        <v>У Вас низкий уровень АЛТ -  Ед.л. Аланинаминотрансфераза (АЛТ) синтезируется внутриклеточно, и в норме лишь небольшая часть этого фермента попадает в кровь. Снижение АЛТ с возрастом связано с уменьшением количества клеток печени — с её старением. Низкий уровень АЛТ связан с повышением слабости и смертности от всех причин у пожилых людей, у молодых и у людей среднего возраста. АЛТ ниже 17  Ед.л у мужчин и 14  Ед.л у женщин повышает риск смертности от всех причин. После 50 лет количество клеток печени уменьшается, и уменьшается синтезируемый ими АЛТ.      (www.ncbi.nlm.nih.gov/pubmed/22158663) (www.ncbi.nlm.nih.gov/pmc/articles/PMC4085878)(www.ncbi.nlm.nih.gov/pubmed/16181369) (www.ncbi.nlm.nih.gov/pmc/articles/PMC4085878) (www.ncbi.nlm.nih.gov/pubmed/16181369) (www.ncbi.nlm.nih.gov/pmc/articles/PMC4972366) Рекомендуются аэробные нагрузки (плавание, бег трусцой, длительная быстрая ходьба в объеме 120-150 минут в неделю)</v>
      </c>
      <c r="J16" s="12" t="str">
        <f>CONCATENATE("Ваш АЛТ ",B16," Ед.л. - выше нормы. Более высокий АЛТ связан с повышенным риском смертности от сердечно-сосудистых заболеваний и от заболеваний печени. Аланинаминотрансфераза (АЛТ)"," синтезируется внутриклеточно, и в норме лишь небольшая часть этого фермента попадает в кровь."," При повреждении печени в результате цитолиза ","(разрушения клеток) этот фермент попадает в кровь, что выявляется лабораторными методами. ","Рекомендуется консультация гепатолога."," Клиника Майо колледж медицины, США  (http://onlinelibrary.wiley.com/doi/10.1002/hep.22109/full)")</f>
        <v>Ваш АЛТ  Ед.л. - выше нормы. Более высокий АЛТ связан с повышенным риском смертности от сердечно-сосудистых заболеваний и от заболеваний печени. Аланинаминотрансфераза (АЛТ) синтезируется внутриклеточно, и в норме лишь небольшая часть этого фермента попадает в кровь. При повреждении печени в результате цитолиза (разрушения клеток) этот фермент попадает в кровь, что выявляется лабораторными методами. Рекомендуется консультация гепатолога. Клиника Майо колледж медицины, США  (http://onlinelibrary.wiley.com/doi/10.1002/hep.22109/full)</v>
      </c>
      <c r="K16" s="20" t="str">
        <f t="shared" si="0"/>
        <v/>
      </c>
    </row>
    <row r="17" spans="1:11" ht="376" customHeight="1" x14ac:dyDescent="0.2">
      <c r="A17" s="33" t="s">
        <v>41</v>
      </c>
      <c r="B17" s="34"/>
      <c r="C17" s="35" t="s">
        <v>42</v>
      </c>
      <c r="D17" s="19" t="s">
        <v>43</v>
      </c>
      <c r="E17" s="16"/>
      <c r="F17" s="17"/>
      <c r="G17" s="24" t="str">
        <f>IF(B17="","",IF(B17&lt;43,1,""))</f>
        <v/>
      </c>
      <c r="H17" s="23" t="str">
        <f>IF(B17="","",IF(B17&gt;50,1,""))</f>
        <v/>
      </c>
      <c r="I17" s="12" t="str">
        <f>CONCATENATE("Ваш сывороточный альбумин ",B17," г/л - ниже нормы. ","Снижение уровня альбумина может быть связано с голоданием, дистрофией",", ухудшением функции печени, с энтероколитами",", панкреатитом, с применением лекарств (вальпроевая кислота, ибупрофен, изониазид, нитрофураны, преднизолон, контрацептивы). Однако по данным Национального Института Старения (США), ","изучавшего 14862630 мужчин и женщин в возрасте от 71 года и старше (www.ncbi.nlm.nih.gov/pubmed/8089886),"," а также по данным 2008 года от Университета Медицинских Наук Сига (Япония), изучавшего"," 1840 пациентов, низкий альбумин в крови в пределах нормы (ниже 43 г/л) связан с потерей активности в"," пожилом возрасте. Также низкий в нормальных значениях альбумин в крови (ниже 43 г/л)
является независимым"," фактором риска смертности от сердечнососудистых заболеваний и риска смертности от всех причин. По данным ","исследований - это связано с антиоксидантным действием сывороточного альбумина на ЛПНП. При более"," низком уровне альбумина ЛПНП быстрее окисляются, повышая риск атеросклероза. Также более"," низкий альбумин может быть индикатором плохого питания и потери мышечной массы при старческой"," саркопении. Пониженный сывороточный альбумин также может быть индикатором хронического и острого"," воспаления. Рекомендуется консультация терапевта и кардиолога.")</f>
        <v>Ваш сывороточный альбумин  г/л - ниже нормы. Снижение уровня альбумина может быть связано с голоданием, дистрофией, ухудшением функции печени, с энтероколитами, панкреатитом, с применением лекарств (вальпроевая кислота, ибупрофен, изониазид, нитрофураны, преднизолон, контрацептивы). Однако по данным Национального Института Старения (США), изучавшего 14862630 мужчин и женщин в возрасте от 71 года и старше (www.ncbi.nlm.nih.gov/pubmed/8089886), а также по данным 2008 года от Университета Медицинских Наук Сига (Япония), изучавшего 1840 пациентов, низкий альбумин в крови в пределах нормы (ниже 43 г/л) связан с потерей активности в пожилом возрасте. Также низкий в нормальных значениях альбумин в крови (ниже 43 г/л)
является независимым фактором риска смертности от сердечнососудистых заболеваний и риска смертности от всех причин. По данным исследований - это связано с антиоксидантным действием сывороточного альбумина на ЛПНП. При более низком уровне альбумина ЛПНП быстрее окисляются, повышая риск атеросклероза. Также более низкий альбумин может быть индикатором плохого питания и потери мышечной массы при старческой саркопении. Пониженный сывороточный альбумин также может быть индикатором хронического и острого воспаления. Рекомендуется консультация терапевта и кардиолога.</v>
      </c>
      <c r="J17" s="12" t="str">
        <f>CONCATENATE("Ваш сывороточный альбумин ",B17," г/л - выше нормы. Рекомендуется консультация терапевта и кардиолога.")</f>
        <v>Ваш сывороточный альбумин  г/л - выше нормы. Рекомендуется консультация терапевта и кардиолога.</v>
      </c>
      <c r="K17" s="20" t="str">
        <f t="shared" si="0"/>
        <v/>
      </c>
    </row>
    <row r="18" spans="1:11" ht="360" customHeight="1" x14ac:dyDescent="0.2">
      <c r="A18" s="33" t="s">
        <v>44</v>
      </c>
      <c r="B18" s="34"/>
      <c r="C18" s="35" t="s">
        <v>45</v>
      </c>
      <c r="D18" s="19" t="s">
        <v>46</v>
      </c>
      <c r="E18" s="16"/>
      <c r="F18" s="17"/>
      <c r="G18" s="24" t="str">
        <f>IF(B18="","",IF(B18&lt;500,1,""))</f>
        <v/>
      </c>
      <c r="H18" s="23" t="str">
        <f>IF(B18="","",IF(B18&gt;814,1,""))</f>
        <v/>
      </c>
      <c r="I18" s="12" t="str">
        <f>CONCATENATE("У Вас низкий уровень витамина б12 в крови - ",B18," пг/мл.  По данным Департамента Клинического Питания (США) от 2009 года было показано,"," что современные нормы витамина Б12 в"," крови не отражают его реальный внутриклеточный уровень. А при дефиците витамина Б12 наступает необратимое поражение нервных клеток мозга и снижение когнитивных функций мозга."," Метилмалоновая кислота в моче хорошо отражает внутриклеточный уровень витамина Б12.  Но анализ на метилмалоновую кислоту дорог. ","Концентрация метилмалоновой кислоты в моче на уровне ниже 271 нмоль/л коррелирует с улучшением ","когнитивных функций. Витамин б12 в крови на любом уровне ниже 500 пг/мл может встречаться как у пациентов с метилмалоновой кислотой ","ниже 271 нмоль/л, так и выше 271 нмоль/л. Однако витамин б12 на уровне выше 500 пг/мл коррелирует только с уровнем метилмалоновой кислоты в моче ","на уровне ниже 271 нмоль/л.   ","Кроме того такие же данные показали и в Калифорнийском Университете в 2014 году, когда уровень витамина"," Б12 не ниже 500 пг/мл использовали в успешном пилотном исследовании для лечения болезни ","Альцгеймера с помощью протокола мер  (www.ncbi.nlm.nih.gov/pmc/articles/PMC2677500/table/t2-6222)","  (www.ncbi.nlm.nih.gov/pmc/articles/PMC4221920)"," Рекомендуется обратиться к терапевту для консультации")</f>
        <v>У Вас низкий уровень витамина б12 в крови -  пг/мл.  По данным Департамента Клинического Питания (США) от 2009 года было показано, что современные нормы витамина Б12 в крови не отражают его реальный внутриклеточный уровень. А при дефиците витамина Б12 наступает необратимое поражение нервных клеток мозга и снижение когнитивных функций мозга. Метилмалоновая кислота в моче хорошо отражает внутриклеточный уровень витамина Б12.  Но анализ на метилмалоновую кислоту дорог. Концентрация метилмалоновой кислоты в моче на уровне ниже 271 нмоль/л коррелирует с улучшением когнитивных функций. Витамин б12 в крови на любом уровне ниже 500 пг/мл может встречаться как у пациентов с метилмалоновой кислотой ниже 271 нмоль/л, так и выше 271 нмоль/л. Однако витамин б12 на уровне выше 500 пг/мл коррелирует только с уровнем метилмалоновой кислоты в моче на уровне ниже 271 нмоль/л.   Кроме того такие же данные показали и в Калифорнийском Университете в 2014 году, когда уровень витамина Б12 не ниже 500 пг/мл использовали в успешном пилотном исследовании для лечения болезни Альцгеймера с помощью протокола мер  (www.ncbi.nlm.nih.gov/pmc/articles/PMC2677500/table/t2-6222)  (www.ncbi.nlm.nih.gov/pmc/articles/PMC4221920) Рекомендуется обратиться к терапевту для консультации</v>
      </c>
      <c r="J18" s="12" t="str">
        <f>CONCATENATE("У Вас слишком высокий уровень витамина Б12 в крови - ",B18," пг/мл. Слишком высокий уровень витамина Б12 (цианокобаламин) в крови (свыше 600 пмоль/л = 813,2 пг/мл) связан с повышенным риском рака легких среди тех, кто курит. "," Дания, 2013 год, Университетский Госпиталь Орхуса (www.ncbi.nlm.nih.gov/pmc/articles/PMC3848986)."," Рекомендуется консультация терапевта и онколога")</f>
        <v>У Вас слишком высокий уровень витамина Б12 в крови -  пг/мл. Слишком высокий уровень витамина Б12 (цианокобаламин) в крови (свыше 600 пмоль/л = 813,2 пг/мл) связан с повышенным риском рака легких среди тех, кто курит.  Дания, 2013 год, Университетский Госпиталь Орхуса (www.ncbi.nlm.nih.gov/pmc/articles/PMC3848986). Рекомендуется консультация терапевта и онколога</v>
      </c>
      <c r="K18" s="20" t="str">
        <f t="shared" si="0"/>
        <v/>
      </c>
    </row>
    <row r="19" spans="1:11" ht="330" customHeight="1" x14ac:dyDescent="0.2">
      <c r="A19" s="33" t="s">
        <v>47</v>
      </c>
      <c r="B19" s="34"/>
      <c r="C19" s="35" t="s">
        <v>48</v>
      </c>
      <c r="D19" s="19" t="s">
        <v>49</v>
      </c>
      <c r="E19" s="16"/>
      <c r="F19" s="17"/>
      <c r="G19" s="24" t="str">
        <f>IF(B19="","",IF(B19&lt;122,1,""))</f>
        <v/>
      </c>
      <c r="H19" s="23" t="str">
        <f>IF(B19="","",IF(B19&gt;250,1,""))</f>
        <v/>
      </c>
      <c r="I19" s="12" t="str">
        <f>CONCATENATE("У Вас низкий уровень активного витамина b12 (голотранскобаламина) в крови - ",B19," пмоль/л. Прогрессирующая ","потеря мозговой ткани (атрофия) хорошо известна как фактор, связанный или вызывающий снижение когнитивных функций и деменцию. И недавно было показано, ","что низкий хоть и нормальный статус внутриклеточного (не путать с сывороточным) витамина b12 в начале ","исследования предсказывает будущую атрофию всего мозга у пожилых людей.  Уровень голотранскобаламина в крови ","(маркер внутриклеточного витамина b12) хорошо ","отражает нарушение когнитивных функций при болезни Альцгеймера — значительно лучше, чем уровень гомоцистеина. Гомоцистеин ","хоть и отражает нарушение когнитивных функций при болезни Альцгеймера, но после ","поправки на голотранскобаламин в крови, связь гомоцистеина с когнитивными способностями сильно ослабла. Голотранскобаламин даже в пределах нормы может отражать ","дефицит витамина b12 в клетках мозга. Лучший диапазон голотранскобаламина — 122- 250 пмоль/л. Но лучше стремиться к ","верхней границе диапазона. (www.ncbi.nlm.nih.gov/pubmed/20956786)"," Рекомендуется обратиться к терапевту для консультации")</f>
        <v>У Вас низкий уровень активного витамина b12 (голотранскобаламина) в крови -  пмоль/л. Прогрессирующая потеря мозговой ткани (атрофия) хорошо известна как фактор, связанный или вызывающий снижение когнитивных функций и деменцию. И недавно было показано, что низкий хоть и нормальный статус внутриклеточного (не путать с сывороточным) витамина b12 в начале исследования предсказывает будущую атрофию всего мозга у пожилых людей.  Уровень голотранскобаламина в крови (маркер внутриклеточного витамина b12) хорошо отражает нарушение когнитивных функций при болезни Альцгеймера — значительно лучше, чем уровень гомоцистеина. Гомоцистеин хоть и отражает нарушение когнитивных функций при болезни Альцгеймера, но после поправки на голотранскобаламин в крови, связь гомоцистеина с когнитивными способностями сильно ослабла. Голотранскобаламин даже в пределах нормы может отражать дефицит витамина b12 в клетках мозга. Лучший диапазон голотранскобаламина — 122- 250 пмоль/л. Но лучше стремиться к верхней границе диапазона. (www.ncbi.nlm.nih.gov/pubmed/20956786) Рекомендуется обратиться к терапевту для консультации</v>
      </c>
      <c r="J19" s="12" t="str">
        <f>CONCATENATE("У Вас слишком высокий уровень активного витамина Б12 (голотранскобаламина) в крови - ",B19," пмоль/л. Слишком высокий уровень витамина Б12 (цианокобаламин) в крови связан с повышенным риском рака легких среди тех, кто курит. "," Пока нет данных о рисках слишком высокого голотранскобаламина. "," Превышать верхнюю границу диапазона не рекомендуется.")</f>
        <v>У Вас слишком высокий уровень активного витамина Б12 (голотранскобаламина) в крови -  пмоль/л. Слишком высокий уровень витамина Б12 (цианокобаламин) в крови связан с повышенным риском рака легких среди тех, кто курит.  Пока нет данных о рисках слишком высокого голотранскобаламина.  Превышать верхнюю границу диапазона не рекомендуется.</v>
      </c>
      <c r="K19" s="20" t="str">
        <f t="shared" si="0"/>
        <v/>
      </c>
    </row>
    <row r="20" spans="1:11" ht="409" customHeight="1" x14ac:dyDescent="0.2">
      <c r="A20" s="33" t="s">
        <v>50</v>
      </c>
      <c r="B20" s="34"/>
      <c r="C20" s="35" t="s">
        <v>51</v>
      </c>
      <c r="D20" s="19" t="s">
        <v>52</v>
      </c>
      <c r="E20" s="16"/>
      <c r="F20" s="17"/>
      <c r="G20" s="24" t="str">
        <f>IF(B20="","",IF(B20&lt;20,1,""))</f>
        <v/>
      </c>
      <c r="H20" s="23" t="str">
        <f>IF(B20="","",IF(B20&gt;56,1,""))</f>
        <v/>
      </c>
      <c r="I20" s="12" t="str">
        <f>CONCATENATE("Ваш сывороточный витамин D (25-OH)  ",B20," нг/мл - ниже нормы. ","Дефицит витамина D доказано через ряд механизмов вызывает воспаление, ","рак и сердечно-сосудистые заболевания. Мета-анализ Калифорнийского ","Университета (США) 2014 года (www.ncbi.nlm.nih.gov/pubmed/24922127), а также ","исследование 2017 года от Афинскиого Университета (Греция) (www.ncbi.nlm.nih.gov/pubmed/28768407) показали, ","что низкий уровень витамина D связан с риском рака толстой кишки и ","молочной железы, с метаболическим синдромом, сахарным диабетом 2-го и 1-го типов и другими аутоиммунными заболеваниями. 2017 год. ","Мета-анализ мета-анализов и разбор каждого исследования, вошедшего в эти мета-анализы показал, что терапия витамином D3 имеет положительный результат и снижает ","смертность только при условии, что изначально уровень 25(OH)D в крови был ≤ 20 нг/мл. Если же уровень 25(OH)D ≥20 нг/мл, то терапия витамином D3 не дает никаких преимуществ (www.ncbi.nlm.nih.gov/pubmed/28686645). Если в анализах крови ","ваш уровень общего витамина D - 25(OH)D ≤ 20 нг/мл, то рекомендуется дополнительный прием витамина D3 ","по назначению врача в дозировке от 400 до 1000 МЕ в сутки для ","достижения уровня 25(OH)D в крови не ниже 20 мг/мл. Такие дозировки были эффективны в крупных исследованиях ","для снижения риска онкологических заболеваний ","(www.ncbi.nlm.nih.gov/pubmed/21880848) (www.ncbi.nlm.nih.gov/pubmed/24131320) ","при исходном уровне у пациентов 25(OH)D &lt; 20 нг/мл.")</f>
        <v>Ваш сывороточный витамин D (25-OH)   нг/мл - ниже нормы. Дефицит витамина D доказано через ряд механизмов вызывает воспаление, рак и сердечно-сосудистые заболевания. Мета-анализ Калифорнийского Университета (США) 2014 года (www.ncbi.nlm.nih.gov/pubmed/24922127), а также исследование 2017 года от Афинскиого Университета (Греция) (www.ncbi.nlm.nih.gov/pubmed/28768407) показали, что низкий уровень витамина D связан с риском рака толстой кишки и молочной железы, с метаболическим синдромом, сахарным диабетом 2-го и 1-го типов и другими аутоиммунными заболеваниями. 2017 год. Мета-анализ мета-анализов и разбор каждого исследования, вошедшего в эти мета-анализы показал, что терапия витамином D3 имеет положительный результат и снижает смертность только при условии, что изначально уровень 25(OH)D в крови был ≤ 20 нг/мл. Если же уровень 25(OH)D ≥20 нг/мл, то терапия витамином D3 не дает никаких преимуществ (www.ncbi.nlm.nih.gov/pubmed/28686645). Если в анализах крови ваш уровень общего витамина D - 25(OH)D ≤ 20 нг/мл, то рекомендуется дополнительный прием витамина D3 по назначению врача в дозировке от 400 до 1000 МЕ в сутки для достижения уровня 25(OH)D в крови не ниже 20 мг/мл. Такие дозировки были эффективны в крупных исследованиях для снижения риска онкологических заболеваний (www.ncbi.nlm.nih.gov/pubmed/21880848) (www.ncbi.nlm.nih.gov/pubmed/24131320) при исходном уровне у пациентов 25(OH)D &lt; 20 нг/мл.</v>
      </c>
      <c r="J20" s="12" t="str">
        <f>CONCATENATE("Ваш сывороточный витамин Д (25-OH)  ",B20," нг/мл - выше нормы. Мета-анализ Калифорнийского Университета"," (США) 2014 года (www.ncbi.nlm.nih.gov/pubmed/24922127),"," а также исследование 2017 года от Афинскиого Университета (Греция) ","(www.ncbi.nlm.nih.gov/pubmed/28768407) рекомендует для минимального уровня смертности от всех причин стремиться"," к уровню витамина D (25-OH)  в крови не выше"," 56 нг/мл. ")</f>
        <v xml:space="preserve">Ваш сывороточный витамин Д (25-OH)   нг/мл - выше нормы. Мета-анализ Калифорнийского Университета (США) 2014 года (www.ncbi.nlm.nih.gov/pubmed/24922127), а также исследование 2017 года от Афинскиого Университета (Греция) (www.ncbi.nlm.nih.gov/pubmed/28768407) рекомендует для минимального уровня смертности от всех причин стремиться к уровню витамина D (25-OH)  в крови не выше 56 нг/мл. </v>
      </c>
      <c r="K20" s="20" t="str">
        <f t="shared" si="0"/>
        <v/>
      </c>
    </row>
    <row r="21" spans="1:11" ht="57" customHeight="1" x14ac:dyDescent="0.2">
      <c r="A21" s="33" t="s">
        <v>53</v>
      </c>
      <c r="B21" s="34"/>
      <c r="C21" s="35" t="s">
        <v>54</v>
      </c>
      <c r="D21" s="19" t="s">
        <v>55</v>
      </c>
      <c r="E21" s="16"/>
      <c r="F21" s="17"/>
      <c r="G21" s="24" t="str">
        <f>IF(B21="","",IF(B21&lt;0,1,""))</f>
        <v/>
      </c>
      <c r="H21" s="23" t="str">
        <f>IF(B21="","",IF(B21&gt;5.9,1,""))</f>
        <v/>
      </c>
      <c r="I21" s="12"/>
      <c r="J21" s="12" t="str">
        <f>CONCATENATE("Ваша глюкоза в крови ",B21," - выше нормы."," Рекомендуется консультация терапевта или эндокринолога")</f>
        <v>Ваша глюкоза в крови  - выше нормы. Рекомендуется консультация терапевта или эндокринолога</v>
      </c>
      <c r="K21" s="20" t="str">
        <f t="shared" si="0"/>
        <v/>
      </c>
    </row>
    <row r="22" spans="1:11" ht="148" customHeight="1" x14ac:dyDescent="0.2">
      <c r="A22" s="33" t="s">
        <v>56</v>
      </c>
      <c r="B22" s="34"/>
      <c r="C22" s="35" t="s">
        <v>57</v>
      </c>
      <c r="D22" s="19" t="s">
        <v>58</v>
      </c>
      <c r="E22" s="16"/>
      <c r="F22" s="17"/>
      <c r="G22" s="24" t="str">
        <f>IF(B22="","",IF(B22&lt;0,1,""))</f>
        <v/>
      </c>
      <c r="H22" s="23" t="str">
        <f>IF(B22="","",IF(B22&gt;10.4,1,""))</f>
        <v/>
      </c>
      <c r="I22" s="12"/>
      <c r="J22" s="12" t="str">
        <f>CONCATENATE("Ваш инсулин ",B22," - выше нормы. В 2012 году было опубликовано исследование,"," проведённое Научным Институтом (Сан-Раффаэле, Милан, Италия)."," В этом исследовании наблюдали в течение 15"," лет более 2000 человек средних лет."," В данном исследовании было показано, что повышенный"," инсулин при инсулинорезистентности связан со смертностью от"," рака независимо от сахарного диабета, ожирения и метаболического синдрома ","(www.ncbi.nlm.nih.gov/pubmed/22215126). "," Рекомендуется консультация терапевта или эндокринолога")</f>
        <v>Ваш инсулин  - выше нормы. В 2012 году было опубликовано исследование, проведённое Научным Институтом (Сан-Раффаэле, Милан, Италия). В этом исследовании наблюдали в течение 15 лет более 2000 человек средних лет. В данном исследовании было показано, что повышенный инсулин при инсулинорезистентности связан со смертностью от рака независимо от сахарного диабета, ожирения и метаболического синдрома (www.ncbi.nlm.nih.gov/pubmed/22215126).  Рекомендуется консультация терапевта или эндокринолога</v>
      </c>
      <c r="K22" s="20" t="str">
        <f t="shared" si="0"/>
        <v/>
      </c>
    </row>
    <row r="23" spans="1:11" ht="409" customHeight="1" x14ac:dyDescent="0.2">
      <c r="A23" s="33" t="s">
        <v>59</v>
      </c>
      <c r="B23" s="35" t="str">
        <f>IF(SUM(B22)=0,"",ROUND(B21*B22/22.5,1))</f>
        <v/>
      </c>
      <c r="C23" s="35"/>
      <c r="D23" s="19" t="s">
        <v>60</v>
      </c>
      <c r="E23" s="16"/>
      <c r="F23" s="17"/>
      <c r="G23" s="24" t="str">
        <f>IF(B23="","",IF(B23&lt;0,1,""))</f>
        <v/>
      </c>
      <c r="H23" s="23" t="str">
        <f>IF(B23="","",IF(B23&gt;1.4,1,""))</f>
        <v/>
      </c>
      <c r="I23" s="12"/>
      <c r="J23" s="12" t="str">
        <f>IF(B12&gt;25,"Ваш Индекс Массы Тела (ИМТ) выше 25, что означает, что Ваш HOMA-IR не подлежит интерпретации",CONCATENATE("Ваш индекс инсулинорезистентности HOMA ",B23," - выше нормы. Снижение чувствительности к инсулину даже ещё без"," постановки диагноза сахарный диабет 2-го типа повышает смертность. Такие выводы сделали учёные в США","  из Университета Вашингтона (Сиэтл, штат Вашингтон) по итогам 12 летнего наблюдения в 2010 году."," (www.ncbi.nlm.nih.gov/pubmed/20200308). Риск"," смертности был значительным даже после поправки на ","потенциальные вмешивающиеся факторы (возраст, пол, индекс массы тела, объём талии и бедер, уровень ","потребления алкоголя, раса/этническая принадлежность, уровень образования, статус курения, физическая ","активность, с-реактивный белок, систолическое и диастолическое артериальное давление, плазменный общего ","и hdl холестерин и триглицериды)."," Правда Индекс инсулинорезистентности НОМА-IR был достоверно ассоциирован"," со смертностью от всех причин только у пациентов с Индексом Массы Тела (ИМТ) не выше 25,2 кг/м(2)."," Однако для снижения смертности все равно нужно похудеть до"," ИМТ не выше 25, а значит все равно нужно снижать Ваш НОМА-IR."," В 2012 году было опубликовано ","исследование, проведённое Научным Институтом (Сан-Раффаэле, Милан, Италия). ","(www.ncbi.nlm.nih.gov/pubmed/22215126)."," В этом исследовании ","наблюдали в течение 15 лет более 2000 человек средних лет. ","В данном исследовании было показано, что повышенный инсулин при инсулинорезистентности ","связан со смертностью от рака независимо от сахарного диабета, ","ожирения и метаболического синдрома."," Рекомендуется консультация терапевта или эндокринолога"))</f>
        <v>Ваш Индекс Массы Тела (ИМТ) выше 25, что означает, что Ваш HOMA-IR не подлежит интерпретации</v>
      </c>
      <c r="K23" s="20" t="str">
        <f t="shared" si="0"/>
        <v/>
      </c>
    </row>
    <row r="24" spans="1:11" ht="378" customHeight="1" x14ac:dyDescent="0.2">
      <c r="A24" s="33" t="s">
        <v>61</v>
      </c>
      <c r="B24" s="34"/>
      <c r="C24" s="35" t="s">
        <v>45</v>
      </c>
      <c r="D24" s="19" t="s">
        <v>62</v>
      </c>
      <c r="E24" s="16"/>
      <c r="F24" s="17"/>
      <c r="G24" s="24" t="str">
        <f>IF(B24="","",IF(B24&lt;0,1,""))</f>
        <v/>
      </c>
      <c r="H24" s="23" t="str">
        <f>IF(B24="","",IF(B24&gt;1.06,1,""))</f>
        <v/>
      </c>
      <c r="I24" s="12"/>
      <c r="J24" s="12" t="str">
        <f>CONCATENATE("Ваш Интерлейкин-6 (ИЛ-6) ",B24," пг/мл - выше нормы. Интерлейкин-6 повышается при воспалении, которое доказано вызывает 25% всех видов рака и сердечно-сосудистые заболевания. ","Мета-анализ 2015 года (www.ncbi.nlm.nih.gov/pubmed/26220152)"," показал, что пациенты, у которых уровень ИЛ-6 в плазме крови находился в трети самых высоких значений,"," имели в 2,48 раза больший риск развития рака толстой кишки по"," сравнению с пациентами с самыми низкими значениями ИЛ-6.  А мета-анализ 2015 года"," (www.ncbi.nlm.nih.gov/pubmed/26096712) (Университет"," Биньчжоу Китай) показал, что уменьшение уровня"," ИЛ-6 в плазме крови всего на 1 пг/мл снижает риск рака печени на 12%. Наилучшее значение ИЛ-6 &lt;"," 1.41. Риск ещё не велик, если ИЛ-6 в диапазоне 1.41-2.56. Но, если ИЛ-6 &gt; 2.56, то риск рака толстой кишки в 2.48"," раз выше, чем если ИЛ-6 &lt; 1.41. Исследование с участием 5806 пациентов (Университет Мэриленда 2013 год"," - www.ncbi.nlm.nih.gov/pubmed/23906927) показало",", что уровень ИЛ-6 в крови выше 1,06 пг/мл повышает риск внезапной смерти от ССЗ почти в два раза. ","Люди с анализом крови на ИЛ-6 ниже 1,06 пг/мл имеют риск внезапно умереть от ССЗ в 2,5 раза ниже, чем люди"," с ИЛ-6 больше чем 2,91 пг/мл."," Рекомендуется консультация терапевта с целью выявления и устранения возможного источника воспаления")</f>
        <v>Ваш Интерлейкин-6 (ИЛ-6)  пг/мл - выше нормы. Интерлейкин-6 повышается при воспалении, которое доказано вызывает 25% всех видов рака и сердечно-сосудистые заболевания. Мета-анализ 2015 года (www.ncbi.nlm.nih.gov/pubmed/26220152) показал, что пациенты, у которых уровень ИЛ-6 в плазме крови находился в трети самых высоких значений, имели в 2,48 раза больший риск развития рака толстой кишки по сравнению с пациентами с самыми низкими значениями ИЛ-6.  А мета-анализ 2015 года (www.ncbi.nlm.nih.gov/pubmed/26096712) (Университет Биньчжоу Китай) показал, что уменьшение уровня ИЛ-6 в плазме крови всего на 1 пг/мл снижает риск рака печени на 12%. Наилучшее значение ИЛ-6 &lt; 1.41. Риск ещё не велик, если ИЛ-6 в диапазоне 1.41-2.56. Но, если ИЛ-6 &gt; 2.56, то риск рака толстой кишки в 2.48 раз выше, чем если ИЛ-6 &lt; 1.41. Исследование с участием 5806 пациентов (Университет Мэриленда 2013 год - www.ncbi.nlm.nih.gov/pubmed/23906927) показало, что уровень ИЛ-6 в крови выше 1,06 пг/мл повышает риск внезапной смерти от ССЗ почти в два раза. Люди с анализом крови на ИЛ-6 ниже 1,06 пг/мл имеют риск внезапно умереть от ССЗ в 2,5 раза ниже, чем люди с ИЛ-6 больше чем 2,91 пг/мл. Рекомендуется консультация терапевта с целью выявления и устранения возможного источника воспаления</v>
      </c>
      <c r="K24" s="20" t="str">
        <f t="shared" si="0"/>
        <v/>
      </c>
    </row>
    <row r="25" spans="1:11" ht="387" customHeight="1" x14ac:dyDescent="0.2">
      <c r="A25" s="33" t="s">
        <v>63</v>
      </c>
      <c r="B25" s="34"/>
      <c r="C25" s="35" t="s">
        <v>64</v>
      </c>
      <c r="D25" s="19" t="s">
        <v>65</v>
      </c>
      <c r="E25" s="16"/>
      <c r="F25" s="17"/>
      <c r="G25" s="24" t="str">
        <f>IF(B25="","",IF(B25&lt;3.5,1,""))</f>
        <v/>
      </c>
      <c r="H25" s="23" t="str">
        <f>IF(B25="","",IF(B25&gt;4.5,1,""))</f>
        <v/>
      </c>
      <c r="I25" s="12" t="str">
        <f>CONCATENATE("Ваш уровень К+ в крови ",B25," ммоль/л.- ниже нормы. Дефицит калия может вызывать сердечные аритмии, нарушая нормальную проводимость нервного импульса. ","Безопасный уровень калия зависит от расы. Но даже если человек белой расы"," - это не значит, что у него нет генов других рас. Поэтому рассматривать лучше универсальный для всех"," рас диапазон калия. Так Калифорнийским Университетом (США) в 2017 году были исследованы разные"," расы на безопасные диапазоны калия в крови ","(www.ncbi.nlm.nih.gov/pubmed/28528336). "," Когорта состояла на 50% из белых людей, на 34% из афро-американцев и на 16% из латиноамериканцев."," Афроамериканцы и белые имели более высокий риск смертности от ССЗ при уровне калия &gt;5,5 ммоль/л. А белые"," имели более высокий риск уже при уровне калия ","выше 4.5 ммоль/л. В то же время латиноамериканцы имели более высокий уровень смертности от ССЗ при"," &lt;3.6 ммоль/л. Тем не менее, для всех рас (в том числе и для китайского населения  (www.ncbi.nlm.nih.gov/pubmed/28499801) самым благоприятным с точки зрения риска смертности был"," диапазон калия в крови от 3.5 до 4.5 ммоль/л."," Низкий уровень калия может быть обусловлен его чрезмерным выведением при употреблении тиазидных диуретиков, а также другими факторами."," Чтобы найти причину и устранить, рекомендуется консультация терапевта")</f>
        <v>Ваш уровень К+ в крови  ммоль/л.- ниже нормы. Дефицит калия может вызывать сердечные аритмии, нарушая нормальную проводимость нервного импульса. Безопасный уровень калия зависит от расы. Но даже если человек белой расы - это не значит, что у него нет генов других рас. Поэтому рассматривать лучше универсальный для всех рас диапазон калия. Так Калифорнийским Университетом (США) в 2017 году были исследованы разные расы на безопасные диапазоны калия в крови (www.ncbi.nlm.nih.gov/pubmed/28528336).  Когорта состояла на 50% из белых людей, на 34% из афро-американцев и на 16% из латиноамериканцев. Афроамериканцы и белые имели более высокий риск смертности от ССЗ при уровне калия &gt;5,5 ммоль/л. А белые имели более высокий риск уже при уровне калия выше 4.5 ммоль/л. В то же время латиноамериканцы имели более высокий уровень смертности от ССЗ при &lt;3.6 ммоль/л. Тем не менее, для всех рас (в том числе и для китайского населения  (www.ncbi.nlm.nih.gov/pubmed/28499801) самым благоприятным с точки зрения риска смертности был диапазон калия в крови от 3.5 до 4.5 ммоль/л. Низкий уровень калия может быть обусловлен его чрезмерным выведением при употреблении тиазидных диуретиков, а также другими факторами. Чтобы найти причину и устранить, рекомендуется консультация терапевта</v>
      </c>
      <c r="J25" s="12" t="str">
        <f>CONCATENATE("Ваш уровень К+ в крови ",B25," ммоль/л.- выше нормы. Избыток калия может вызывать опасные для жизни сердечные аритмии, нарушая нормальную проводимость нервного импульса. ","Безопасный уровень калия зависит от расы. Но даже если человек белой расы"," - это не значит, что у него нет генов других рас. Поэтому рассматривать лучше универсальный для всех"," рас диапазон калия. Так Калифорнийским Университетом (США) в 2017 году были исследованы разные"," рассы на безопасные диапазоны калия в крови ","(www.ncbi.nlm.nih.gov/pubmed/28528336). "," Когорта состояла на 50% из белых людей, на 34% из афро-американцев и на 16% из латиноамериканцев."," Афроамериканцы и белые имели более высокий риск смертности от ССЗ при уровне калия &gt;5,5 ммоль/л. А белые"," имели более высокий риск уже при уровне калия ","выше 4.5 ммоль/л. В то же время латиноамериканцы имели более высокий уровень смертности от ССЗ при"," &lt;3.6 ммоль/л. Тем не менее, для всех рас (в том числе и для китайского населения  (www.ncbi.nlm.nih.gov/pubmed/28499801) самым благоприятным с точки зрения риска смертности был"," диапазон калия в крови от 3.5 до 4.5 ммоль/л."," Повышенный уровень калия может быть обусловлен многими факторами - в том числе и недостаточным его выведением из организма при нарушении работы почек."," Рекомендуется консультация терапевта")</f>
        <v>Ваш уровень К+ в крови  ммоль/л.- выше нормы. Избыток калия может вызывать опасные для жизни сердечные аритмии, нарушая нормальную проводимость нервного импульса. Безопасный уровень калия зависит от расы. Но даже если человек белой расы - это не значит, что у него нет генов других рас. Поэтому рассматривать лучше универсальный для всех рас диапазон калия. Так Калифорнийским Университетом (США) в 2017 году были исследованы разные рассы на безопасные диапазоны калия в крови (www.ncbi.nlm.nih.gov/pubmed/28528336).  Когорта состояла на 50% из белых людей, на 34% из афро-американцев и на 16% из латиноамериканцев. Афроамериканцы и белые имели более высокий риск смертности от ССЗ при уровне калия &gt;5,5 ммоль/л. А белые имели более высокий риск уже при уровне калия выше 4.5 ммоль/л. В то же время латиноамериканцы имели более высокий уровень смертности от ССЗ при &lt;3.6 ммоль/л. Тем не менее, для всех рас (в том числе и для китайского населения  (www.ncbi.nlm.nih.gov/pubmed/28499801) самым благоприятным с точки зрения риска смертности был диапазон калия в крови от 3.5 до 4.5 ммоль/л. Повышенный уровень калия может быть обусловлен многими факторами - в том числе и недостаточным его выведением из организма при нарушении работы почек. Рекомендуется консультация терапевта</v>
      </c>
      <c r="K25" s="20" t="str">
        <f t="shared" si="0"/>
        <v/>
      </c>
    </row>
    <row r="26" spans="1:11" ht="323" customHeight="1" x14ac:dyDescent="0.2">
      <c r="A26" s="33" t="s">
        <v>66</v>
      </c>
      <c r="B26" s="34"/>
      <c r="C26" s="35" t="s">
        <v>67</v>
      </c>
      <c r="D26" s="19" t="s">
        <v>68</v>
      </c>
      <c r="E26" s="16"/>
      <c r="F26" s="17"/>
      <c r="G26" s="24" t="str">
        <f>IF(B26="","",IF(B26&lt;0,1,""))</f>
        <v/>
      </c>
      <c r="H26" s="23" t="str">
        <f>IF(B26="","",IF(AND(B4=1,B26&gt;104),1,IF(AND(B4=2,B26&gt;98),1,"")))</f>
        <v/>
      </c>
      <c r="I26" s="12"/>
      <c r="J26" s="12" t="str">
        <f>IF(B4=2,CONCATENATE("Ваш креатинин в крови ",B26," мкмоль/л - выше норм. Рекомендуется консультация нефролога."),CONCATENATE("Ваш креатинин в крови ",B26," мкмоль/л - выше нормы. Ученые из"," Национального Института Рака наблюдали двукратное увеличение риска рака предстательной железы"," даже с учетом поправок на другие факторы риска среди пациентов в возрасте 40-59 лет с концентрацией креатинина"," в сыворотке крови более 1.19 мг/дл (105 мкмоль/л) по сравнению с креатинином менее или равным 1,02 мг/дл (90 мкмоль/л) ","www.ncbi.nlm.nih.gov/pmc/articles/PMC2759851. Предполагается,"," что это связано с повышенным риском кальцификации в процессе снижения функции почек. В 2015 году ","Вашингтонские ученые из США показали, что рак простаты развивается в том числе из-за варикозного ","расширения вен вокруг простаты в результате отложения кальция ","(www.ncbi.nlm.nih.gov/pubmed/25613567)."," В исследовании 2008 года, проведенном в Немецком"," Центре Исследования Рака с участием 11 000 мужчин обнаружилось, что высокое потребление витамина К2"," в рационе питания, который подавляет кальцификацию,"," было связано с уменьшением риск рака простаты на 63%"," (www.ncbi.nlm.nih.gov/pubmed/18400723). ","Рекомендуется консультация уролога и нефролога."))</f>
        <v>Ваш креатинин в крови  мкмоль/л - выше нормы. Ученые из Национального Института Рака наблюдали двукратное увеличение риска рака предстательной железы даже с учетом поправок на другие факторы риска среди пациентов в возрасте 40-59 лет с концентрацией креатинина в сыворотке крови более 1.19 мг/дл (105 мкмоль/л) по сравнению с креатинином менее или равным 1,02 мг/дл (90 мкмоль/л) www.ncbi.nlm.nih.gov/pmc/articles/PMC2759851. Предполагается, что это связано с повышенным риском кальцификации в процессе снижения функции почек. В 2015 году Вашингтонские ученые из США показали, что рак простаты развивается в том числе из-за варикозного расширения вен вокруг простаты в результате отложения кальция (www.ncbi.nlm.nih.gov/pubmed/25613567). В исследовании 2008 года, проведенном в Немецком Центре Исследования Рака с участием 11 000 мужчин обнаружилось, что высокое потребление витамина К2 в рационе питания, который подавляет кальцификацию, было связано с уменьшением риск рака простаты на 63% (www.ncbi.nlm.nih.gov/pubmed/18400723). Рекомендуется консультация уролога и нефролога.</v>
      </c>
      <c r="K26" s="20" t="str">
        <f t="shared" si="0"/>
        <v/>
      </c>
    </row>
    <row r="27" spans="1:11" ht="259" customHeight="1" x14ac:dyDescent="0.2">
      <c r="A27" s="33" t="s">
        <v>69</v>
      </c>
      <c r="B27" s="35" t="str">
        <f>IF(OR(SUM(B26)=0,SUM(B3)=0,SUM(B3)=0),"",(IF(B4=1,ROUND(32788*(POWER(B26,-1.154))*(POWER(B3,-0.203)),0),ROUND(32788*(POWER(B26,-1.154))*(POWER(B3,-0.203))*0.742,0))))</f>
        <v/>
      </c>
      <c r="C27" s="35" t="s">
        <v>70</v>
      </c>
      <c r="D27" s="19" t="s">
        <v>71</v>
      </c>
      <c r="E27" s="16"/>
      <c r="F27" s="17"/>
      <c r="G27" s="23" t="str">
        <f>IF(AND(B3&gt;59,B27&lt;90),1,IF(AND(B3&lt;60,B27&lt;60),1,""))</f>
        <v/>
      </c>
      <c r="H27" s="23" t="str">
        <f>IF(AND(B3&gt;59,B27&gt;108),1,"")</f>
        <v/>
      </c>
      <c r="I27" s="12" t="str">
        <f>IF(B3&lt;60,CONCATENATE("Ваша СКФ ",B27," мл/мин/1,73 м2 - ниже нормы. СКФ менее 60 мл/мин/1,73 м2 в любом"," возрасте после 20 лет связана с повышенным риском смертности от всех причин и от ССЗ при условии,"," что СКФ менее 60 сочетается с протеинурией (www.ncbi.nlm.nih.gov/pubmed/22140122)."," Поэтому, если у Вас СКФ менее 60 мл/мин/1,73 м2 рекомендуется"," обратиться к нефрологу для назначения анализа мочи на альбумин для выявления возможной протеинурии"," и для дальнейшей консультации."),CONCATENATE("Ваша СКФ ",B27," мл/мин/1,73 м2 - ниже нормы. У людей после 60 лет с низким риском ССЗ и нормальной"," работой почек СКФ менее 90 мл/мин/1,73 м2 повышает риск"," смертности на 40% даже с поправкой на классические факторы риска. (2015 год, Национальный Институт Здоровья Италия)"," (www.ncbi.nlm.nih.gov/pubmed/24147135). Если"," Вам более 60 лет, и у Вас СКФ ниже 90 мл/мин/1,73 м2, то рекомендуется"," обратиться к нефрологу для назначения анализа"," мочи на альбумин для выявления возможной протеинурии и для дальнейшей консультации. Так как у людей"," старше 60 лет протеинурия совместно со снижение СКФ"," являются более точным маркером риска смертности по данным 2012 года"," от Университета Падуи (Италия) (www.ncbi.nlm.nih.gov/pubmed/22018644)"))</f>
        <v>Ваша СКФ  мл/мин/1,73 м2 - ниже нормы. СКФ менее 60 мл/мин/1,73 м2 в любом возрасте после 20 лет связана с повышенным риском смертности от всех причин и от ССЗ при условии, что СКФ менее 60 сочетается с протеинурией (www.ncbi.nlm.nih.gov/pubmed/22140122). Поэтому, если у Вас СКФ менее 60 мл/мин/1,73 м2 рекомендуется обратиться к нефрологу для назначения анализа мочи на альбумин для выявления возможной протеинурии и для дальнейшей консультации.</v>
      </c>
      <c r="J27" s="12" t="str">
        <f>CONCATENATE("Ваша СКФ ",B27," мл/мин/1,73 м2 - выше нормы. У людей"," после 60 лет с низким риском ССЗ и нормальной"," работой почек СКФ ≥ 109 мл/мин/1,73 м2 связана с увеличением риска смертности от всех причин в 4 раза"," (2015 год, Национальный Институт Здоровья Италия) (www.ncbi.nlm.nih.gov/pubmed/24147135)")</f>
        <v>Ваша СКФ  мл/мин/1,73 м2 - выше нормы. У людей после 60 лет с низким риском ССЗ и нормальной работой почек СКФ ≥ 109 мл/мин/1,73 м2 связана с увеличением риска смертности от всех причин в 4 раза (2015 год, Национальный Институт Здоровья Италия) (www.ncbi.nlm.nih.gov/pubmed/24147135)</v>
      </c>
      <c r="K27" s="20" t="str">
        <f t="shared" si="0"/>
        <v/>
      </c>
    </row>
    <row r="28" spans="1:11" ht="409" customHeight="1" x14ac:dyDescent="0.2">
      <c r="A28" s="33" t="s">
        <v>72</v>
      </c>
      <c r="B28" s="34"/>
      <c r="C28" s="35" t="s">
        <v>67</v>
      </c>
      <c r="D28" s="19" t="s">
        <v>73</v>
      </c>
      <c r="E28" s="16"/>
      <c r="F28" s="17"/>
      <c r="G28" s="23" t="str">
        <f>IF(B28="","",IF(AND(B4=1,B28&lt;210),1,IF(AND(B4=2,B28&lt;150),1,"")))</f>
        <v/>
      </c>
      <c r="H28" s="23" t="str">
        <f>IF(B28="","",IF(AND(B4=1,B28&gt;363),1,IF(AND(B4=2,B28&gt;280),1,"")))</f>
        <v/>
      </c>
      <c r="I28" s="12" t="str">
        <f>CONCATENATE("Ваш уровень мочевой кислоты в крови ",B28," мкмоль/л - ниже нормы. В 2017"," году японские ученые из Университетов Тоттори Ямагути и Киото в исследованиях на животных в очередной раз показали, что низкий уровень"," мочевой кислоты опасен для здоровья, также как и высокий. Это связано с тем, что мочевая кислота"," обладает антиоксидантными свойствами. А когда ее много - она становится прооксидантом"," (www.ncbi.nlm.nih.gov/pmc/articles/PMC5469489). Ряд исследований на людях доказали полезные свойства"," антиоксидантной активности мочевой кислоты для здоровья людей. Так в 2015 году в США в двойном"," плацебо контролируемом исследовании было показано, что повышение уровня мочевой кислоты"," в пределах нормы у людей с болезнью Паркинсона с помощью инозина улучшало симптомы болезни, благодаря"," антиоксидантным свойствам мочевой кислоты  www.ncbi.nlm.nih.gov/pmc/articles/PMC3940333",". Рекомендуется обратиться к терапевту для консультации")</f>
        <v>Ваш уровень мочевой кислоты в крови  мкмоль/л - ниже нормы. В 2017 году японские ученые из Университетов Тоттори Ямагути и Киото в исследованиях на животных в очередной раз показали, что низкий уровень мочевой кислоты опасен для здоровья, также как и высокий. Это связано с тем, что мочевая кислота обладает антиоксидантными свойствами. А когда ее много - она становится прооксидантом (www.ncbi.nlm.nih.gov/pmc/articles/PMC5469489). Ряд исследований на людях доказали полезные свойства антиоксидантной активности мочевой кислоты для здоровья людей. Так в 2015 году в США в двойном плацебо контролируемом исследовании было показано, что повышение уровня мочевой кислоты в пределах нормы у людей с болезнью Паркинсона с помощью инозина улучшало симптомы болезни, благодаря антиоксидантным свойствам мочевой кислоты  www.ncbi.nlm.nih.gov/pmc/articles/PMC3940333. Рекомендуется обратиться к терапевту для консультации</v>
      </c>
      <c r="J28" s="12" t="str">
        <f>CONCATENATE("Ваш уровень мочевой кислоты в крови ",B28," мкмоль/л - выше нормы.  В 2016 году крупный мета-анализ 14 исследований"," с участием 341 389 человек, составленный китайскими учеными, показал, что повышенный уровень"," мочевой кислоты в крови может увеличить риск"," развития Ишемической болезни сердца и смертности от всех причин ","(www.ncbi.nlm.nih.gov/pubmed/27793095). ","По данным Медицинского Колледжа Альберта Энштейна (США) уровень мочевой кислоты в крови выше"," 363 мкмоль/л повышает смертность от ССЗ у мужчин черной расы более чем в два раза. А уровень мочевой"," кислоты в крови выше 280 мкмоль/л повышает смертность от ССЗ у женщин черной расы более чем в 4 раза."," Даже если человек белой расы - это не дает гарантии, что у него нет полиморфизма в генах, который повышает"," риск смертности от ССЗ при более высоком уровень мочевой кислоты также, как и у человека черной расы, что"," встречается нередко. В то же время для людей всех рас уровень мочевой кислоты в крови выше 416 мкмоль/л"," для мужчин и 333 мкмоль/л для женщин связан"," с более высокой смертностью от ССЗ ","(www.ncbi.nlm.nih.gov/pubmed/10815083)."," Уровень мочевой"," кислоты повышается в том числе из-за злоупотребления алкоголем и из-за большого потребления фруктозы ","(www.ncbi.nlm.nih.gov/pmc/articles/PMC5073537)"," (www.ncbi.nlm.nih.gov/pmc/articles/PMC5409734) ","(www.sciencedirect.com/science/article/pii/S0304416516304810?via%3Dihub)."," Рекомендуется консультация терапевта")</f>
        <v>Ваш уровень мочевой кислоты в крови  мкмоль/л - выше нормы.  В 2016 году крупный мета-анализ 14 исследований с участием 341 389 человек, составленный китайскими учеными, показал, что повышенный уровень мочевой кислоты в крови может увеличить риск развития Ишемической болезни сердца и смертности от всех причин (www.ncbi.nlm.nih.gov/pubmed/27793095). По данным Медицинского Колледжа Альберта Энштейна (США) уровень мочевой кислоты в крови выше 363 мкмоль/л повышает смертность от ССЗ у мужчин черной расы более чем в два раза. А уровень мочевой кислоты в крови выше 280 мкмоль/л повышает смертность от ССЗ у женщин черной расы более чем в 4 раза. Даже если человек белой расы - это не дает гарантии, что у него нет полиморфизма в генах, который повышает риск смертности от ССЗ при более высоком уровень мочевой кислоты также, как и у человека черной расы, что встречается нередко. В то же время для людей всех рас уровень мочевой кислоты в крови выше 416 мкмоль/л для мужчин и 333 мкмоль/л для женщин связан с более высокой смертностью от ССЗ (www.ncbi.nlm.nih.gov/pubmed/10815083). Уровень мочевой кислоты повышается в том числе из-за злоупотребления алкоголем и из-за большого потребления фруктозы (www.ncbi.nlm.nih.gov/pmc/articles/PMC5073537) (www.ncbi.nlm.nih.gov/pmc/articles/PMC5409734) (www.sciencedirect.com/science/article/pii/S0304416516304810?via%3Dihub). Рекомендуется консультация терапевта</v>
      </c>
      <c r="K28" s="20" t="str">
        <f t="shared" si="0"/>
        <v/>
      </c>
    </row>
    <row r="29" spans="1:11" ht="259" customHeight="1" x14ac:dyDescent="0.2">
      <c r="A29" s="33" t="s">
        <v>74</v>
      </c>
      <c r="B29" s="34"/>
      <c r="C29" s="35" t="s">
        <v>51</v>
      </c>
      <c r="D29" s="19" t="s">
        <v>75</v>
      </c>
      <c r="E29" s="16"/>
      <c r="F29" s="17"/>
      <c r="G29" s="23">
        <f>IF(AND(B3&gt;49,B29&lt;105),1,IF(AND(B3&lt;50,B29&lt;100),1,""))</f>
        <v>1</v>
      </c>
      <c r="H29" s="23" t="str">
        <f>IF(B29="","",IF(AND(B3&gt;49,B29&gt;130),1,IF(AND(B3&lt;50,B29&gt;160),1,"")))</f>
        <v/>
      </c>
      <c r="I29" s="12" t="str">
        <f>IF(B3&gt;69,CONCATENATE("В возрасте старше 70 лет"," уровень ИФР-1 не влияет на продолжительности жизни по данным Университета Западной Австралии от 2011 года. После 70 лет","  более высокие уровни ИФР-Связывающего Белка-1 и более низкие уровни ИФР-Связывающего Белка-3 связаны с более высокой","  смертностью. 
(www.ncbi.nlm.nih.gov/pubmed/21378090)"),IF(B3&lt;70,CONCATENATE("Ваш ИФР-1 в крови ",B29," нг/мл - ниже нормы. ","ИФР-1 играет одну из ключевых ролей в скорости старения. Оптимизация уровня ИФР-1 в возрасте от 50 до 65 лет до 105-120 нг/мл ","связано с меньшим уровнем общей смертности, по данным исследования учёных"," из Института Медицины (Гетеборг, Швеция). ","И оптимизация уровня ИФР-1 в возрасте от 18 и старше до 100-160 нг/мл связано с ","меньшим уровнем общей смертности у мужчин, по данным исследования учёных из Университета Имени Эрнста Морица Арндта"," от 2011 года (www.ncbi.nlm.nih.gov/pubmed/21435927)"),""))</f>
        <v>Ваш ИФР-1 в крови  нг/мл - ниже нормы. ИФР-1 играет одну из ключевых ролей в скорости старения. Оптимизация уровня ИФР-1 в возрасте от 50 до 65 лет до 105-120 нг/мл связано с меньшим уровнем общей смертности, по данным исследования учёных из Института Медицины (Гетеборг, Швеция). И оптимизация уровня ИФР-1 в возрасте от 18 и старше до 100-160 нг/мл связано с меньшим уровнем общей смертности у мужчин, по данным исследования учёных из Университета Имени Эрнста Морица Арндта от 2011 года (www.ncbi.nlm.nih.gov/pubmed/21435927)</v>
      </c>
      <c r="J29" s="12" t="str">
        <f>IF(B3&lt;50,CONCATENATE("Ваш ИФР-1 в крови ",B29," нг/мл - выше нормы. "," У мужчин в возрасте от 18 до 95 лет наименьшая общая смертность наблюдалась при значении ИФР-1 в диапазоне от 100 до 160 нг/мл",", по данным Университета Имени Эрнста Морица Арндта от 2011 года"," (www.ncbi.nlm.nih.gov/pubmed/21435927)"),IF(B3&lt;70,CONCATENATE("Ваш ИФР-1 в крови ",B29," нг/мл - выше нормы. ИФР-1 играет одну из ключевых ролей в скорости старения у всех животных,"," включая человека. Чрезмерно высокий ИФР-1 повышает количество делений ДНК и накопление мутаций и ошибок, что является ограничивающим ","фактором для продолжительности жизни и мощным фактором риска онкологии. В возрасте от 50 до 65 лет снижение ИФР-1 до"," 105-120 ng/ml снижает риск общей смертности,"," а также в разы снижает смертность от рака по данным"," исследования учёных из Института Медицины (Гетеборг, Швеция) (www.ncbi.nlm.nih.gov/pubmed/23015658)"),CONCATENATE("В возрасте от 70 лет и старше"," уровень ИФР-1 не влияет на продолжительности жизни по данным Университета Западной Австралии от 2011 года. После 70 лет","  более высокие уровни ИФР-Связывающего Белка-1 и более низкие уровни ИФР-Связывающего Белка-3 связаны с более высокой","  смертностью. 
(www.ncbi.nlm.nih.gov/pubmed/21378090), а также по данным ","Калифорнийского Университета США от 2009 года (www.ncbi.nlm.nih.gov/pubmed/19558480")))</f>
        <v>Ваш ИФР-1 в крови  нг/мл - выше нормы.  У мужчин в возрасте от 18 до 95 лет наименьшая общая смертность наблюдалась при значении ИФР-1 в диапазоне от 100 до 160 нг/мл, по данным Университета Имени Эрнста Морица Арндта от 2011 года (www.ncbi.nlm.nih.gov/pubmed/21435927)</v>
      </c>
      <c r="K29" s="20" t="str">
        <f t="shared" si="0"/>
        <v/>
      </c>
    </row>
    <row r="30" spans="1:11" ht="307" customHeight="1" x14ac:dyDescent="0.2">
      <c r="A30" s="33" t="s">
        <v>76</v>
      </c>
      <c r="B30" s="34"/>
      <c r="C30" s="35" t="s">
        <v>77</v>
      </c>
      <c r="D30" s="19" t="s">
        <v>78</v>
      </c>
      <c r="E30" s="16"/>
      <c r="F30" s="17"/>
      <c r="G30" s="23" t="str">
        <f>IF(B30="","",IF(AND(B5=1,B30&lt;0),1,IF(AND(B5=2,B30&lt;0),1,"")))</f>
        <v/>
      </c>
      <c r="H30" s="23" t="str">
        <f>IF(B30="","",IF(AND(B4=1,B30&gt;1),1,IF(AND(B4=2,B30&gt;1),1,"")))</f>
        <v/>
      </c>
      <c r="I30" s="12"/>
      <c r="J30" s="12" t="str">
        <f>IF(SUM(H24)=1,CONCATENATE("Ваш С-реактивный белок ",B30," мг/л - выше нормы. С-реактивный белок повышается при воспалении, которое доказано вызывает 25% всех видов рака и сердечно-сосудистые заболевания. "," Американская Ассоциация Сердца и центр США по контролю и ","профилактике болезней у определенных групп риска определяют уровень С-реактивного белка с низким риском ","ССЗ - не выше 1 мг/л."," (https://labtestsonline.org/understanding/analytes/hscrp/tab/test). ","Кроме того по данным 2015 года от Университета Восточной Финляндии, С-реактивный белок выше 1 мг/л увеличивают"," риск рака лёгких в 3-4 раза — в зависимости от показателей VO2max (максимальное потребление ","кислорода) (www.ncbi.nlm.nih.gov/pubmed/26008754)."," К тому же у Вас не только повышенное значение С-реактивного белка, но и повышенный Интерлейкин-6. По данным 2014 года от Колумбийского Университета (США)"," совместно высокие значение С-реактивного белка и Интерлейкина-6 одновременно могут со"," значительной вероятностью предсказывать инсульт мозга"," (www.ncbi.nlm.nih.gov/pubmed/24627113)"),CONCATENATE("Ваш С-реактивный белок ",B30," мг/л - выше нормы. Американская Ассоциация Сердца и центр США по контролю и ","профилактике болезней у определенных групп риска определяют уровень С-реактивного белка с низким риском ","ССЗ - не выше 1 мг/л."," (https://labtestsonline.org/understanding/analytes/hscrp/tab/test). ","Кроме того по данным 2015 года от Университета Восточной Финляндии, С-реактивный белок выше 1 мг/л увеличивают"," риск рака лёгких в 3-4 раза — в зависимости от показателей VO2max (максимальное потребление ","кислорода) (www.ncbi.nlm.nih.gov/pubmed/26008754)."," По данным 2014 года от Колумбийского Университета (США)"," высокий уровень С-реактивного белка сильно повышает"," риск внезапной смерти от заболеваний сердца (www.ncbi.nlm.nih.gov/pubmed/24627113). ","К тому же по данным 2016 года ученых из Польши (www.ncbi.nlm.nih.gov/pubmed/27274758) повышенный"," С-реактивный белок хорошо предсказывает риск"," развития возраст зависимых заболеваний и продолжительность"," жизни человека даже после поправок на возраст, пол, индекс массы тела и курение."))</f>
        <v>Ваш С-реактивный белок  мг/л - выше нормы. Американская Ассоциация Сердца и центр США по контролю и профилактике болезней у определенных групп риска определяют уровень С-реактивного белка с низким риском ССЗ - не выше 1 мг/л. (https://labtestsonline.org/understanding/analytes/hscrp/tab/test). Кроме того по данным 2015 года от Университета Восточной Финляндии, С-реактивный белок выше 1 мг/л увеличивают риск рака лёгких в 3-4 раза — в зависимости от показателей VO2max (максимальное потребление кислорода) (www.ncbi.nlm.nih.gov/pubmed/26008754). По данным 2014 года от Колумбийского Университета (США) высокий уровень С-реактивного белка сильно повышает риск внезапной смерти от заболеваний сердца (www.ncbi.nlm.nih.gov/pubmed/24627113). К тому же по данным 2016 года ученых из Польши (www.ncbi.nlm.nih.gov/pubmed/27274758) повышенный С-реактивный белок хорошо предсказывает риск развития возраст зависимых заболеваний и продолжительность жизни человека даже после поправок на возраст, пол, индекс массы тела и курение.</v>
      </c>
      <c r="K30" s="20" t="str">
        <f t="shared" si="0"/>
        <v/>
      </c>
    </row>
    <row r="31" spans="1:11" ht="61" customHeight="1" x14ac:dyDescent="0.2">
      <c r="A31" s="36" t="s">
        <v>79</v>
      </c>
      <c r="B31" s="34"/>
      <c r="C31" s="35" t="s">
        <v>48</v>
      </c>
      <c r="D31" s="19" t="s">
        <v>80</v>
      </c>
      <c r="E31" s="16"/>
      <c r="F31" s="17"/>
      <c r="G31" s="23" t="str">
        <f>IF(B31="","",IF(AND(B4=1,B31&lt;2.8),1,IF(AND(B4=2,B31&lt;2.8),1,"")))</f>
        <v/>
      </c>
      <c r="H31" s="23" t="str">
        <f>IF(B31="","",IF(AND(B4=1,B31&gt;6.45),1,IF(AND(B4=2,B31&gt;6.45),1,"")))</f>
        <v/>
      </c>
      <c r="I31" s="12" t="str">
        <f>CONCATENATE("Ваш гормон щитовидной железы свободный Т3  - ",B31," пмоль/л - ниже нормы. Рекомендуется консультация эндокринолога")</f>
        <v>Ваш гормон щитовидной железы свободный Т3  -  пмоль/л - ниже нормы. Рекомендуется консультация эндокринолога</v>
      </c>
      <c r="J31" s="12" t="str">
        <f>CONCATENATE("Ваш гормон щитовидной железы свободный Т3  - ",B31," пмоль/л - выше нормы. Рекомендуется консультация эндокринолога")</f>
        <v>Ваш гормон щитовидной железы свободный Т3  -  пмоль/л - выше нормы. Рекомендуется консультация эндокринолога</v>
      </c>
      <c r="K31" s="20" t="str">
        <f t="shared" si="0"/>
        <v/>
      </c>
    </row>
    <row r="32" spans="1:11" ht="74" customHeight="1" x14ac:dyDescent="0.2">
      <c r="A32" s="36" t="s">
        <v>81</v>
      </c>
      <c r="B32" s="34"/>
      <c r="C32" s="35" t="s">
        <v>48</v>
      </c>
      <c r="D32" s="19" t="s">
        <v>82</v>
      </c>
      <c r="E32" s="16"/>
      <c r="F32" s="17"/>
      <c r="G32" s="23" t="str">
        <f>IF(B32="","",IF(AND(B4=1,B32&lt;11.5),1,IF(AND(B4=2,B32&lt;11.5),1,"")))</f>
        <v/>
      </c>
      <c r="H32" s="23" t="str">
        <f>IF(B32="","",IF(AND(B4=1,B32&gt;22.7),1,IF(AND(B4=2,B32&gt;22.7),1,"")))</f>
        <v/>
      </c>
      <c r="I32" s="12" t="str">
        <f>CONCATENATE("Ваш гормон щитовидной железы свободный Т4  - ",B32," пмоль/л - ниже нормы. Рекомендуется консультация эндокринолога")</f>
        <v>Ваш гормон щитовидной железы свободный Т4  -  пмоль/л - ниже нормы. Рекомендуется консультация эндокринолога</v>
      </c>
      <c r="J32" s="12" t="str">
        <f>CONCATENATE("Ваш гормон щитовидной железы свободный Т3  - ",B32," пмоль/л - выше нормы. Рекомендуется консультация эндокринолога")</f>
        <v>Ваш гормон щитовидной железы свободный Т3  -  пмоль/л - выше нормы. Рекомендуется консультация эндокринолога</v>
      </c>
      <c r="K32" s="20" t="str">
        <f t="shared" si="0"/>
        <v/>
      </c>
    </row>
    <row r="33" spans="1:11" ht="391" customHeight="1" x14ac:dyDescent="0.2">
      <c r="A33" s="36" t="s">
        <v>83</v>
      </c>
      <c r="B33" s="35" t="str">
        <f>IF(OR(SUM(B31)=0,SUM(B32)=0),"",ROUNDDOWN(SUM(B31)/SUM(B32),2))</f>
        <v/>
      </c>
      <c r="C33" s="35"/>
      <c r="D33" s="19" t="s">
        <v>84</v>
      </c>
      <c r="E33" s="16"/>
      <c r="F33" s="17"/>
      <c r="G33" s="23" t="str">
        <f>IF(B33="","",IF(AND(B4=1,B33&lt;0.28),1,IF(AND(B4=2,B33&lt;0.27),1,"")))</f>
        <v/>
      </c>
      <c r="H33" s="23" t="str">
        <f>IF(B33="","",IF(AND(B4=1,B33&gt;0.41),1,IF(AND(B4=2,B33&gt;0.37),1,"")))</f>
        <v/>
      </c>
      <c r="I33" s="12" t="str">
        <f>IF(B4=1,CONCATENATE("Ваше отношение Т3 свободного к Т4 свободному ",B33," - ниже нормы. У Вас недостаточно высокий свободный"," гормон щитовидной железы Т3 при недостаточно низком свободном Т4. По данным 2017 года Лейденского ","Университета (Нидерланды) (www.ncbi.nlm.nih.gov/pubmed/29070732) на долгожительство"," влияло отношения гормонов щитовидной железы свободного Т3 к свободному Т4. Особенно это"," важно для людей в возрасте старше 85 лет - когда уровень ТТГ в пределах нормы (0,4 -4,0 мЕд/л) уже не влияет ","на смертность. Чем выше был свободный Т3 и чем ниже свободный Т4, тем больше шансов прожить дольше. То есть"," чем выше отношение свободных Т3/Т4, тем лучше для долголетия. Мужчины с соотношением свободных ","Т3/Т4 в диапазоне 0.28-0.41 имели меньшую смертность, чем в диапазоне 0.24-0.28, а мужчины с отношением свободных"," Т3/Т4 в диапазоне 0.14-0.24 были еще менее склонны к долголетию. На это не влияли уровни воспалительных"," маркеров. Более высокие циркулирующие уровни свободного Т4, возможно, отражают более"," медленный темп детоксикации гормонов щитовидной железы в печени и в почках. Рекомендуется ","консультация эндокринолога."),IF(B4=2,CONCATENATE("Ваше отношение Т3 свободного к Т4 свободному ",B33," - ниже нормы. У Вас недостаточно"," высокий свободный гормон щитовидной железы Т3 при недостаточно низком свободном Т4."," По данным 2017 года Лейденского Университета (Нидерланды) ","(www.ncbi.nlm.nih.gov/pubmed/29070732) на ","долгожительство влияло отношения гормонов щитовидной железы свободного Т3 к свободному Т4. Особенно это важно для людей в возрасте старше 85 лет ","- когда уровень ТТГ в пределах нормы (0,4 -4,0 мЕд/л) уже не влияет на смертность. Чем выше был свободный"," Т3 и чем ниже свободный Т4, тем больше шансов прожить дольше. То есть чем выше отношение свободных ","Т3/Т4, тем лучше для долголетия. Женщины с соотношением свободных Т3/Т4 в диапазоне 0.27-0.37 имели меньшую ","смертность, чем в диапазоне 0.23-0.27, а женщины с отношением свободных Т3/Т4 в диапазоне 0.12-0.23 ","были еще менее склонны к долголетию. На это не влияли уровни воспалительных маркеров. Более высокие циркулирующие"," уровни свободного Т4, возможно, отражают более медленный темп детоксикации гормонов щитовидной железы"," в печени и в почках. Рекомендуется консультация эндокринолога."),""))</f>
        <v/>
      </c>
      <c r="J33" s="12" t="s">
        <v>85</v>
      </c>
      <c r="K33" s="20" t="str">
        <f t="shared" ref="K33" si="1">IF(AND(H33="",G33=""),"",IF(G33="",J33,I33))</f>
        <v/>
      </c>
    </row>
    <row r="34" spans="1:11" ht="365" customHeight="1" x14ac:dyDescent="0.2">
      <c r="A34" s="36" t="s">
        <v>86</v>
      </c>
      <c r="B34" s="34"/>
      <c r="C34" s="35" t="s">
        <v>87</v>
      </c>
      <c r="D34" s="19" t="s">
        <v>88</v>
      </c>
      <c r="E34" s="16"/>
      <c r="F34" s="37" t="str">
        <f>IF(B44="","",IF(AND(B3&lt;65,B34&gt;4.5),1,IF(AND(B3&gt;64,B34&gt;7.15),1,"")))</f>
        <v/>
      </c>
      <c r="G34" s="23" t="str">
        <f>IF(B34="","",IF(AND(B4=1,B34&lt;0.4),1,IF(AND(B4=2,B34&lt;0.4),1,"")))</f>
        <v/>
      </c>
      <c r="H34" s="23" t="str">
        <f>IF(B34="","",IF(AND(B4=1,B34&gt;1.9),1,IF(AND(B4=2,B34&gt;1.5),1,"")))</f>
        <v/>
      </c>
      <c r="I34" s="12" t="str">
        <f>CONCATENATE("Ваш ТТГ ",B34," мЕд/л - ниже нормы. Вам рекомендуется консультация эндокринолога.")</f>
        <v>Ваш ТТГ  мЕд/л - ниже нормы. Вам рекомендуется консультация эндокринолога.</v>
      </c>
      <c r="J34" s="12" t="str">
        <f>IF(AND(SUM(H30)=0,SUM(H24)=0,SUM(H50)=0),"",(IF(AND(B4=2,SUM(B3)&lt;85),CONCATENATE("Ваш ТТГ ",B34," мЕд/л. Если Ваши"," гормоны щитовидной железы (Т3 и Т4) в пределах нормы, то нет необходимости снижать"," ТТГ ниже 4.5 мЕд/л для тех, кому менее 65 лет. И нет необходимости"," снижать ТТГ ниже 7.15 мЕд/л для тех кому 65 лет и более. Это связано с тем, что"," немного повышенный ТТГ задерживает старение и связан с чрезвычайным долголетием у животных и у людей ","долгожителей (www.ncbi.nlm.nih.gov/pmc/articles/PMC2682478) по данным исследования, опубликованного в 2009 году от Университета Канзаса."," Однако, если Ваш ТТГ выше 1.5 мЕд/л, то необходимо обратить внимание на то, чтобы Ваш холестерин был в норме, а маркеры воспаления"," (с-реактивный белок и интерлейкин-6, также были в норме). Иначе это может"," повысить смертность по данным 8 летнего исследования 2008"," года с участием 17 311"," женщин от Норвежского Университета Науки и Технологии"," (www.ncbi.nlm.nih.gov/pubmed/18443261)."," Однако если Ваш ТТГ выше 4.5 мЕд/л (если вам до 65 лет) или выше 7.15 мЕд/л"," (если ваш возраст от 65 лет и старше), то рекомендуется обратиться к эндокринологу для консультации"),(IF(AND(B4=1,SUM(B3)&lt;85),CONCATENATE("Ваш ТТГ ",B34," мЕд/л. Если Ваши гормоны"," щитовидной железы (Т3 и Т4) в пределах нормы, то нет необходимости снижать ТТГ ниже 4.5 мЕд/л для тех, кому менее 65 лет. И нет"," необходимости снижать ТТГ ниже 7.15 мЕд/л для тех кому 65 лет и более. Это связано с тем, что немного повышенный ТТГ задерживает старение и связан"," с чрезвычайным долголетием у животных и у людей долгожителей (www.ncbi.nlm.nih.gov/pmc/articles/PMC2682478) по данным исследования"," публикованного в 2009 году от Университета Канзаса. 
Однако, если Ваш"," ТТГ выше 1.90 мЕд/л, то необходимо обратить внимание на то, чтобы Ваш холестерин был в норме, а маркеры воспаления (с-реактивный"," белок и интерлейкин-6, также были в норме). Иначе это может повысить смертность по данным ","19 летнего исследования, опубликованного в 2016 ","году Национальным Центром Глобального Здравоохранения"," и Медицины"," (Токио, Япония), проведенного с участием 12 584 американских взрослых в возрасте ≥20 лет"," (www.ncbi.nlm.nih.gov/pubmed/27539006)."," Однако если Ваш ТТГ выше 4.5 мЕд/л (если вам до 65 лет)"," или выше 7.15 мЕд/л (если ваш возраст от 65 лет и старше), то рекомендуется обратиться к эндокринологу для консультации)"),"")))))</f>
        <v/>
      </c>
      <c r="K34" s="20" t="str">
        <f>IF(SUM(B34)=0,"",IF(AND(H34="",G34=""),"",IF(G34="",J34,I34)))</f>
        <v/>
      </c>
    </row>
    <row r="35" spans="1:11" ht="368" customHeight="1" x14ac:dyDescent="0.2">
      <c r="A35" s="36" t="s">
        <v>89</v>
      </c>
      <c r="B35" s="34"/>
      <c r="C35" s="35" t="s">
        <v>90</v>
      </c>
      <c r="D35" s="19" t="s">
        <v>91</v>
      </c>
      <c r="E35" s="16"/>
      <c r="F35" s="37"/>
      <c r="G35" s="24" t="str">
        <f>IF(B35="","",IF(B35&lt;0,1,""))</f>
        <v/>
      </c>
      <c r="H35" s="23" t="str">
        <f>IF(B35="","",IF(B35&gt;=7.29,1,""))</f>
        <v/>
      </c>
      <c r="I35" s="12"/>
      <c r="J35" s="12" t="str">
        <f>CONCATENATE("Ваш альфа-фетопротеин ",B35," МЕ/мл - ","выше нормы. Вплоть до настоящего времени реакция Татаринова-Абелева остаётся единственным ","маркером при диагностике гепатоцеллюлярного рака печени. Это открытие внесено в Реестр открытий СССР. Как показывают исследования ","Университетской Клиники Эссена в Германии, Альфа-фетопротеин не является достаточным для диагностики рака печени на ","ранней стадии. Но интересно, при раке печени даже на ранней стадии в сыворотке крови обычно повышается активность щелочной ","фосфотазы и повышаются уровни альфа-фетопротеина, и дес-гамма-карбоксипротромбина. На ранней стадии опухоли повышенные ","уровни альфа-фетопротеина предсказывали опухоль лишь в 20% случаев, а одновременное повышение и альфа-фетопротеина и ","дес-гамма-карбоксипротромбина предсказывало опухоль в 55% случаев (www.ncbi.nlm.nih.gov/pubmed/23406785). ","Так если уровни альфа-фетопротеина равны или выше 10 нг/мл (8,2 МЕ/мл) с одновременным уровнем ","дес-гамма-карбоксипротромбина от 5 нг/мл и выше, то это может с вероятностью на 55% ","означать раннюю стадию рака печени."," Правильно для экономии средств будет сдавать лишь один альфа-фетопротеин. И если альфа-фетопротеин повышен, то уже ","тогда сдавать дополнительно дес-гамма-карбоксипротромбин. Рекомендуется сдать анализ на дес-гамма-карбоксипротромбин и ","консультация онколога.")</f>
        <v>Ваш альфа-фетопротеин  МЕ/мл - выше нормы. Вплоть до настоящего времени реакция Татаринова-Абелева остаётся единственным маркером при диагностике гепатоцеллюлярного рака печени. Это открытие внесено в Реестр открытий СССР. Как показывают исследования Университетской Клиники Эссена в Германии, Альфа-фетопротеин не является достаточным для диагностики рака печени на ранней стадии. Но интересно, при раке печени даже на ранней стадии в сыворотке крови обычно повышается активность щелочной фосфотазы и повышаются уровни альфа-фетопротеина, и дес-гамма-карбоксипротромбина. На ранней стадии опухоли повышенные уровни альфа-фетопротеина предсказывали опухоль лишь в 20% случаев, а одновременное повышение и альфа-фетопротеина и дес-гамма-карбоксипротромбина предсказывало опухоль в 55% случаев (www.ncbi.nlm.nih.gov/pubmed/23406785). Так если уровни альфа-фетопротеина равны или выше 10 нг/мл (8,2 МЕ/мл) с одновременным уровнем дес-гамма-карбоксипротромбина от 5 нг/мл и выше, то это может с вероятностью на 55% означать раннюю стадию рака печени. Правильно для экономии средств будет сдавать лишь один альфа-фетопротеин. И если альфа-фетопротеин повышен, то уже тогда сдавать дополнительно дес-гамма-карбоксипротромбин. Рекомендуется сдать анализ на дес-гамма-карбоксипротромбин и консультация онколога.</v>
      </c>
      <c r="K35" s="20" t="str">
        <f>IF(SUM(B35)=0,"",IF(AND(H35="",G35=""),"",IF(G35="",J35,I35)))</f>
        <v/>
      </c>
    </row>
    <row r="36" spans="1:11" ht="349" customHeight="1" x14ac:dyDescent="0.2">
      <c r="A36" s="36" t="s">
        <v>92</v>
      </c>
      <c r="B36" s="34"/>
      <c r="C36" s="35" t="s">
        <v>51</v>
      </c>
      <c r="D36" s="19" t="s">
        <v>93</v>
      </c>
      <c r="E36" s="16"/>
      <c r="F36" s="37"/>
      <c r="G36" s="24" t="str">
        <f>IF(B36="","",IF(B36&lt;3,1,""))</f>
        <v/>
      </c>
      <c r="H36" s="23" t="str">
        <f>IF(B36="","",IF(B36&gt;=17,1,""))</f>
        <v/>
      </c>
      <c r="I36" s="12" t="str">
        <f>CONCATENATE("Ваш уровень фолатов в крови ",B36," нг/мл.- ниже нормы. Ваш врач вероятно "," может назначить дополнительный источник фолатов в питании в дозировке 200-400 мкг в сутки. Более высокие дозы фолатов не рекомендуются. Длительная терапия фолатами и фолиевой кислотой "," в дозе выше 400 мкг в сутки может немного повышать риски онкологических заболеваний. Только потребление фолатов до 400 мкг в сутки "," улучшает состояние сосудов. Дальнейшее повышение дозы повышает 5-MTHF в крови, не повышает "," 5-MTHF в тканях, не дает дополнительного преимущества, но может повысить риски поражения спинного мозга, рака, нестабильной "," стенокардии, инсульта, эрректильной фисфункции, увеличить риск рестеноза в стенте и необходимость реваскуляризации "," целевого сосуда после коронарного стентирования (www.ncbi.nlm.nih.gov/pubmed/19029125). Причино-следственная связь "," генетического нарушения фолатного цикла с повышенной смертностью до сих пор не доказана. А снижение "," гомоцистеина у таких людей с помощью фолатов или фолиевой кислоты в дозе выше 200-400 мкг в сутки не снижает смертность или даже может повысить "," риск смертности (www.ncbi.nlm.nih.gov/pubmed/24458267). Рекомендуется обратиться к врачу для "," возможного назначения дополнительного источника фолатов 200-400 мкг в сутки")</f>
        <v>Ваш уровень фолатов в крови  нг/мл.- ниже нормы. Ваш врач вероятно  может назначить дополнительный источник фолатов в питании в дозировке 200-400 мкг в сутки. Более высокие дозы фолатов не рекомендуются. Длительная терапия фолатами и фолиевой кислотой  в дозе выше 400 мкг в сутки может немного повышать риски онкологических заболеваний. Только потребление фолатов до 400 мкг в сутки  улучшает состояние сосудов. Дальнейшее повышение дозы повышает 5-MTHF в крови, не повышает  5-MTHF в тканях, не дает дополнительного преимущества, но может повысить риски поражения спинного мозга, рака, нестабильной  стенокардии, инсульта, эрректильной фисфункции, увеличить риск рестеноза в стенте и необходимость реваскуляризации  целевого сосуда после коронарного стентирования (www.ncbi.nlm.nih.gov/pubmed/19029125). Причино-следственная связь  генетического нарушения фолатного цикла с повышенной смертностью до сих пор не доказана. А снижение  гомоцистеина у таких людей с помощью фолатов или фолиевой кислоты в дозе выше 200-400 мкг в сутки не снижает смертность или даже может повысить  риск смертности (www.ncbi.nlm.nih.gov/pubmed/24458267). Рекомендуется обратиться к врачу для  возможного назначения дополнительного источника фолатов 200-400 мкг в сутки</v>
      </c>
      <c r="J36" s="12" t="str">
        <f>CONCATENATE("Ваш уровень фолатов в крови ",B36," нг/мл.- выше нормы. Повышенные ","концентрации фолатов или фолиевой кислоты в крови могут немного повышать риски онкологических ","заболеваний, не приводят к повышению 5-MTHF в тканях, не дают дополнительного ","преимущества, но могут повысить риски поражения спинного мозга, рака, нестабильной "," стенокардии, инсульта, эрректильной фисфункции, увеличить риск рестеноза в стенте и необходимость реваскуляризации "," целевого сосуда после коронарного стентирования (www.ncbi.nlm.nih.gov/pubmed/19029125). Причино-следственная связь "," генетического нарушения фолатного цикла с повышенной смертностью также до сих пор не доказана. А снижение "," гомоцистеина у таких людей с помощью фолатов или фолиевой кислоты в дозе выше 200-400 мкг в сутки не снижает смертность или даже может повысить "," риск смертности (www.ncbi.nlm.nih.gov/pubmed/24458267). Рекомендуется исключить любые добавки ","фолатов или фолиевой кислоты в рационе питания, за исключением листовой ","зелени в небольшом количестве.")</f>
        <v>Ваш уровень фолатов в крови  нг/мл.- выше нормы. Повышенные концентрации фолатов или фолиевой кислоты в крови могут немного повышать риски онкологических заболеваний, не приводят к повышению 5-MTHF в тканях, не дают дополнительного преимущества, но могут повысить риски поражения спинного мозга, рака, нестабильной  стенокардии, инсульта, эрректильной фисфункции, увеличить риск рестеноза в стенте и необходимость реваскуляризации  целевого сосуда после коронарного стентирования (www.ncbi.nlm.nih.gov/pubmed/19029125). Причино-следственная связь  генетического нарушения фолатного цикла с повышенной смертностью также до сих пор не доказана. А снижение  гомоцистеина у таких людей с помощью фолатов или фолиевой кислоты в дозе выше 200-400 мкг в сутки не снижает смертность или даже может повысить  риск смертности (www.ncbi.nlm.nih.gov/pubmed/24458267). Рекомендуется исключить любые добавки фолатов или фолиевой кислоты в рационе питания, за исключением листовой зелени в небольшом количестве.</v>
      </c>
      <c r="K36" s="20" t="str">
        <f>IF(SUM(B36)=0,"",IF(AND(H36="",G36=""),CONCATENATE("Ваш уровень фолатов в крови ",B36," нг/мл.- в пределах нормы",". Нет необходимости употреблять дополнительный источник фолатов или фолиевой кислоты. Повышение ","уровня фолатов или фолиевой кислоты в крови выше нормы может немного увеличивать риски онкологических ","заболеваний, повысить риски поражения спинного мозга, рака, нестабильной "," стенокардии, инсульта, эрректильной фисфункции, ","увеличить риск рестеноза в стенте и необходимость реваскуляризации "," целевого сосуда после коронарного ","стентирования (www.ncbi.nlm.nih.gov/pubmed/19029125). Причино-следственная связь "," генетического нарушения фолатного цикла с повышенной смертностью до сих пор не доказана. А снижение "," гомоцистеина у таких людей с помощью фолатов или фолиевой кислоты в дозе выше 200-400 мкг в сутки не снижает смертность или даже может повысить "," риск смертности (www.ncbi.nlm.nih.gov/pubmed/24458267). Не рекомендуется применять дополнительный источник ","фолатов или фолиевой кислоты, либо не рекомендуется использовать большие дозы, чем те, которые Вы применяли непосредственно ","до сдачи анализа крови. Однако, планируя беременность, женщинам стоит рассмотреть дополнительный ","источник фолатов по назначению врача."),IF(G36="",J36,I36)))</f>
        <v/>
      </c>
    </row>
    <row r="37" spans="1:11" ht="63" customHeight="1" x14ac:dyDescent="0.2">
      <c r="A37" s="36" t="s">
        <v>94</v>
      </c>
      <c r="B37" s="34"/>
      <c r="C37" s="35" t="s">
        <v>95</v>
      </c>
      <c r="D37" s="19" t="s">
        <v>96</v>
      </c>
      <c r="E37" s="16"/>
      <c r="F37" s="37"/>
      <c r="G37" s="24" t="str">
        <f>IF(B37="","",IF(B37&lt;119,1,""))</f>
        <v/>
      </c>
      <c r="H37" s="23" t="str">
        <f>IF(B37="","",IF(B37&gt;=146,1,""))</f>
        <v/>
      </c>
      <c r="I37" s="12" t="str">
        <f>IF(SUM(G37:G38)=2,CONCATENATE("Ваши уровень гемоглобина в крови ",B37," г/л.- ниже нормы. Рекомендуется консультация врача"," для рассмотрения возможного назначения железоповышающей терапии, учитывая также пониженный уровень железа"),IF(SUM(G37)=1,CONCATENATE("Ваш уровень гемоглобина в крови ",B37," г/л.- ниже нормы. Рекомендуется консультация врача"),""))</f>
        <v/>
      </c>
      <c r="J37" s="12" t="str">
        <f>CONCATENATE("Ваш уровень гемоглобина в крови ",B37," г/л.- выше нормы. Рекомендуется консультация врача")</f>
        <v>Ваш уровень гемоглобина в крови  г/л.- выше нормы. Рекомендуется консультация врача</v>
      </c>
      <c r="K37" s="20" t="str">
        <f>IF(SUM(B37)=0,"",IF(AND(H37="",G37=""),"",IF(G37="",J37,I37)))</f>
        <v/>
      </c>
    </row>
    <row r="38" spans="1:11" ht="62" customHeight="1" x14ac:dyDescent="0.2">
      <c r="A38" s="36" t="s">
        <v>97</v>
      </c>
      <c r="B38" s="34"/>
      <c r="C38" s="35" t="s">
        <v>67</v>
      </c>
      <c r="D38" s="19" t="s">
        <v>98</v>
      </c>
      <c r="E38" s="16"/>
      <c r="F38" s="37"/>
      <c r="G38" s="24" t="str">
        <f>IF(B38="","",IF(B38&lt;12.5,1,""))</f>
        <v/>
      </c>
      <c r="H38" s="23" t="str">
        <f>IF(B38="","",IF(B38&gt;=32.2,1,""))</f>
        <v/>
      </c>
      <c r="I38" s="12" t="str">
        <f>IF(SUM(G37:G38)=2,CONCATENATE("Ваш уровень железа в крови ",B38," мкмоль/л.- ниже нормы. Рекомендуется консультация врача"," для рассмотрения возможного назначения железоповышающей терапии, учитывая также пониженный уровень гемоглобина"),IF(SUM(G38)=1,CONCATENATE("Ваш уровень железа в крови ",B38," мкмоль/л.- ниже нормы. Рекомендуется консультация врача"),""))</f>
        <v/>
      </c>
      <c r="J38" s="12" t="str">
        <f>CONCATENATE("Ваш уровень железа в крови ",B38," мкмоль/л.- выше нормы. Рекомендуется консультация врача")</f>
        <v>Ваш уровень железа в крови  мкмоль/л.- выше нормы. Рекомендуется консультация врача</v>
      </c>
      <c r="K38" s="20" t="str">
        <f>IF(SUM(B38)=0,"",IF(AND(H38="",G38=""),"",IF(G38="",J38,I38)))</f>
        <v/>
      </c>
    </row>
    <row r="39" spans="1:11" ht="409" customHeight="1" x14ac:dyDescent="0.2">
      <c r="A39" s="33" t="s">
        <v>99</v>
      </c>
      <c r="B39" s="34"/>
      <c r="C39" s="35" t="s">
        <v>51</v>
      </c>
      <c r="D39" s="19" t="s">
        <v>100</v>
      </c>
      <c r="E39" s="16"/>
      <c r="F39" s="17"/>
      <c r="G39" s="23" t="str">
        <f>IF(B39="","",IF(AND(B4=1,B39&lt;40),1,IF(AND(B4=2,B39&lt;40),1,"")))</f>
        <v/>
      </c>
      <c r="H39" s="23">
        <f>IF(OR(MIN([3]ВОПРОСЫ!F47,[3]ВОПРОСЫ!F75:F86,[3]ВОПРОСЫ!F89:F92,[3]ВОПРОСЫ!F95:F98,[3]ВОПРОСЫ!F106,[3]ВОПРОСЫ!F122)=1,SUM(МАРКЕРЫ!B16)&gt;40,SUM(МАРКЕРЫ!B24)&gt;7,SUM(МАРКЕРЫ!B30)&gt;5,SUM(МАРКЕРЫ!B27)&lt;31),2,IF(B39="","",IF(AND(B4=1,B39&gt;70),1,IF(AND(B4=2,B39&gt;70),1,""))))</f>
        <v>2</v>
      </c>
      <c r="I39" s="12" t="str">
        <f>CONCATENATE("Ваш сывороточный ферритин ",B39," нг/мл - ниже нормы.  ","Рекомендуется консультация терапевта")</f>
        <v>Ваш сывороточный ферритин  нг/мл - ниже нормы.  Рекомендуется консультация терапевта</v>
      </c>
      <c r="J39" s="12" t="str">
        <f>CONCATENATE("Ваш сывороточный ферритин ",B39," нг/мл - выше нормы. Избыточное железо вызывает воспаление и мутагенез, а ферритин переносчик железа. Воспаление вызывает 25% всех видов рака. Шестилетнее рандомизированное контролируемое"," исследование 2010 года (США) (www.ncbi.nlm.nih.gov/pubmed/20304584) с ","участием 1277 пациентов, показало, что повышенный уровень ферртина связан с более высоким риском смерти от рака (для большинства"," типов опухолей) и ССЗ, так как высокий ферритин связан с более высокими маркерами воспаления (С-реактивный белок и интерлейкин-6). А снижение ферритина"," с помощью кровопусканий снижало воспалительные маркеры и риск смертности от рака"," на 68%. На начальном этапе в исследование не включались пациенты"," со злокачественными опухолями в анамнезе, с печеночными и ","почечными патологиями, перенесенными инфекциями и другими факторами, способными повлиять на изначальный уровень ферритина. Если ","уровень ферритина был повышен из-за инфекции или из-за воспалительного процесса, то анализ на ферритин ","повторяли после выздоровления. Также избегали препаратов железа и снижали"," красное мясо. В итоге в группе кровопусканий ферритин снизился со 111.1 нг/мл (+-65 ) до 56.2 нг/мл (+-29.9).  ","А вообще среди всех выживших за период наблюдения в обеих группах ферритин был 83.6 нг/мл (+-57.3), ","а среди умерших 132.5 нг/мл (+-116.8)."," Уровень ферритина выше, ","чем 40 нг/мл исключает дефицит железа у большинства больных, тогда как выше 70 нг/мл исключает дефицит железа"," у пациентов с воспалением или с болезнью печени (www.ncbi.nlm.nih.gov/pubmed/7918045)"," Рекомендуется консультация терапевта")</f>
        <v>Ваш сывороточный ферритин  нг/мл - выше нормы. Избыточное железо вызывает воспаление и мутагенез, а ферритин переносчик железа. Воспаление вызывает 25% всех видов рака. Шестилетнее рандомизированное контролируемое исследование 2010 года (США) (www.ncbi.nlm.nih.gov/pubmed/20304584) с участием 1277 пациентов, показало, что повышенный уровень ферртина связан с более высоким риском смерти от рака (для большинства типов опухолей) и ССЗ, так как высокий ферритин связан с более высокими маркерами воспаления (С-реактивный белок и интерлейкин-6). А снижение ферритина с помощью кровопусканий снижало воспалительные маркеры и риск смертности от рака на 68%. На начальном этапе в исследование не включались пациенты со злокачественными опухолями в анамнезе, с печеночными и почечными патологиями, перенесенными инфекциями и другими факторами, способными повлиять на изначальный уровень ферритина. Если уровень ферритина был повышен из-за инфекции или из-за воспалительного процесса, то анализ на ферритин повторяли после выздоровления. Также избегали препаратов железа и снижали красное мясо. В итоге в группе кровопусканий ферритин снизился со 111.1 нг/мл (+-65 ) до 56.2 нг/мл (+-29.9).  А вообще среди всех выживших за период наблюдения в обеих группах ферритин был 83.6 нг/мл (+-57.3), а среди умерших 132.5 нг/мл (+-116.8). Уровень ферритина выше, чем 40 нг/мл исключает дефицит железа у большинства больных, тогда как выше 70 нг/мл исключает дефицит железа у пациентов с воспалением или с болезнью печени (www.ncbi.nlm.nih.gov/pubmed/7918045) Рекомендуется консультация терапевта</v>
      </c>
      <c r="K39" s="20" t="str">
        <f>IF(SUM(B39)=0,"",IF(H39=2,CONCATENATE("Ваш ферритин не может быть интерпретирован из-за того, что он возможно повышен вследствии того, что"," у Вас или СКФ ниже 30, или АЛТ выше 40 Ед/л, или С-реактивный белок выше 5 мг/мл, или интерлейкин-6 выше ","7 пг/мл, или есть аутоиммунные, либо воспалительные, либо онкологические заболевания в анамнезе"),IF(AND(H39="",G39=""),"",
IF(AND(G39="",G37="",G38=""),J39,IF(AND(G39="",G37=1),"",IF(AND(G39="",G38=1),"",I39))))))</f>
        <v/>
      </c>
    </row>
    <row r="40" spans="1:11" ht="258" customHeight="1" x14ac:dyDescent="0.2">
      <c r="A40" s="33" t="s">
        <v>101</v>
      </c>
      <c r="B40" s="34"/>
      <c r="C40" s="35" t="s">
        <v>54</v>
      </c>
      <c r="D40" s="19" t="s">
        <v>102</v>
      </c>
      <c r="E40" s="16"/>
      <c r="F40" s="17"/>
      <c r="G40" s="23" t="str">
        <f>IF(B40="","",IF(AND(B4=1,B40&lt;2.95),1,IF(AND(B4=2,B40&lt;2.95),1,"")))</f>
        <v/>
      </c>
      <c r="H40" s="23" t="str">
        <f>IF(B40="","",IF(AND(B4=1,B40&gt;5.2),1,IF(AND(B4=2,B40&gt;5.2),1,"")))</f>
        <v/>
      </c>
      <c r="I40" s="12" t="str">
        <f>CONCATENATE("Ваш уровень Холестерина ",B40," ммоль/л. - ниже нормы. Рекомендуется консультация кардиолога")</f>
        <v>Ваш уровень Холестерина  ммоль/л. - ниже нормы. Рекомендуется консультация кардиолога</v>
      </c>
      <c r="J40" s="12" t="str">
        <f>CONCATENATE("Ваш уровень Холестерина ",B40," ммоль/л. - выше нормы. Руководящие принципы Американской Ассоциации  Сердца"," (США) рекомендуют для минимизации риска смертности от ССЗ стремиться к значению ","холестерина не более 5,2 ммоль/л. В исследованиях снижение"," общего холестерина было связано с уменьшением риска смертности. Так, например, мета-анализ"," 2004 года от Нью-Йоркского Университета (США)","  (www.ncbi.nlm.nih.gov/pubmed/16214597) с ","участием 90 056 пациентов, включающий 14 рандомизированных контролируемых исследований, направленных на ","снижение уровня общего холестерина статинами, показал существенное снижение распространенности ","Ишемической Болезни Сердца, инсульта во всех возрастных ","группах, независимо от уровня артериального давления. "," Рекомендуется консультация кардиолога")</f>
        <v>Ваш уровень Холестерина  ммоль/л. - выше нормы. Руководящие принципы Американской Ассоциации  Сердца (США) рекомендуют для минимизации риска смертности от ССЗ стремиться к значению холестерина не более 5,2 ммоль/л. В исследованиях снижение общего холестерина было связано с уменьшением риска смертности. Так, например, мета-анализ 2004 года от Нью-Йоркского Университета (США)  (www.ncbi.nlm.nih.gov/pubmed/16214597) с участием 90 056 пациентов, включающий 14 рандомизированных контролируемых исследований, направленных на снижение уровня общего холестерина статинами, показал существенное снижение распространенности Ишемической Болезни Сердца, инсульта во всех возрастных группах, независимо от уровня артериального давления.  Рекомендуется консультация кардиолога</v>
      </c>
      <c r="K40" s="20" t="str">
        <f t="shared" ref="K40:K48" si="2">IF(SUM(B40)=0,"",IF(AND(H40="",G40=""),"",IF(G40="",J40,I40)))</f>
        <v/>
      </c>
    </row>
    <row r="41" spans="1:11" ht="409" customHeight="1" x14ac:dyDescent="0.2">
      <c r="A41" s="33" t="s">
        <v>103</v>
      </c>
      <c r="B41" s="34"/>
      <c r="C41" s="35" t="s">
        <v>54</v>
      </c>
      <c r="D41" s="19" t="s">
        <v>104</v>
      </c>
      <c r="E41" s="16"/>
      <c r="F41" s="17"/>
      <c r="G41" s="23" t="str">
        <f>IF(B41="","",IF(AND(B4=1,B41&lt;1.56),1,IF(AND(B4=2,B41&lt;1.56),1,"")))</f>
        <v/>
      </c>
      <c r="H41" s="23"/>
      <c r="I41" s="12" t="str">
        <f>CONCATENATE("Ваш уровень ЛПВП ",B41," ммоль/л. - ниже нормы. Руководящие принципы Американской Ассоциации  Сердца"," (США) рекомендуют для минимизации риска смертности от ССЗ стремиться к ","ЛПВП больше, чем 1.55 ммоль/л (www.nhlbi.nih.gov/files/docs/guidelines/atp3xsum.pdf) ","Однако в 2011 году Эксперты по питанию Гарвардской школы общественного здравоохранения (США) показали, что в состав ЛПВП могут входит аполипопротеины С3 ","(апос-III). Апос-III повышают воспаление и вызывают эндотелиальную дисфункцию. Апос-III  также входят ","в состав ЛПОНП. При большом количестве ЛПОНП апос-III могут переходить от ЛПОНП к ЛПВП, делая ЛПВП не защитными, а атерогенными. ","Вот, возможно, почему слишком высокий уровень ЛПВП при высоком ЛПОНП не защищает от атеросклероза, ","а иногда даже повышает риск ССЗ  ","(www.ncbi.nlm.nih.gov/pubmed/25038074). Поэтому ","нужно снижать ЛПНП и ЛПОНП, а уже потом повышать ЛПВП. (www.ncbi.nlm.nih.gov/pubmed/21421846)
С одной ","стороны повышение уровня ЛПВП является прогностическим фактором регрессии атеросклероза, а низкий ","уровень ЛПВП связан с риском развития атеросклероза и смертностью от него, даже если уровень ЛПНП низкий. С другой стороны в проведенных клинических исследованиях медикаментозное повышение ","уровня ЛПВП не снижало риск развития ССЗ.  ","Когда ЛПВП повышается при лучшем здоровье, ","то в нем меньше апос-III. А когда ЛПВП повышается медикаментозно, то в нем больше апос-III. "," Поэтому повышение ЛПВП имеет значение лишь с одновременным снижением ЛПНП, что отражается в индексе ","атерогенности. ")</f>
        <v xml:space="preserve">Ваш уровень ЛПВП  ммоль/л. - ниже нормы. Руководящие принципы Американской Ассоциации  Сердца (США) рекомендуют для минимизации риска смертности от ССЗ стремиться к ЛПВП больше, чем 1.55 ммоль/л (www.nhlbi.nih.gov/files/docs/guidelines/atp3xsum.pdf) Однако в 2011 году Эксперты по питанию Гарвардской школы общественного здравоохранения (США) показали, что в состав ЛПВП могут входит аполипопротеины С3 (апос-III). Апос-III повышают воспаление и вызывают эндотелиальную дисфункцию. Апос-III  также входят в состав ЛПОНП. При большом количестве ЛПОНП апос-III могут переходить от ЛПОНП к ЛПВП, делая ЛПВП не защитными, а атерогенными. Вот, возможно, почему слишком высокий уровень ЛПВП при высоком ЛПОНП не защищает от атеросклероза, а иногда даже повышает риск ССЗ  (www.ncbi.nlm.nih.gov/pubmed/25038074). Поэтому нужно снижать ЛПНП и ЛПОНП, а уже потом повышать ЛПВП. (www.ncbi.nlm.nih.gov/pubmed/21421846)
С одной стороны повышение уровня ЛПВП является прогностическим фактором регрессии атеросклероза, а низкий уровень ЛПВП связан с риском развития атеросклероза и смертностью от него, даже если уровень ЛПНП низкий. С другой стороны в проведенных клинических исследованиях медикаментозное повышение уровня ЛПВП не снижало риск развития ССЗ.  Когда ЛПВП повышается при лучшем здоровье, то в нем меньше апос-III. А когда ЛПВП повышается медикаментозно, то в нем больше апос-III.  Поэтому повышение ЛПВП имеет значение лишь с одновременным снижением ЛПНП, что отражается в индексе атерогенности. </v>
      </c>
      <c r="J41" s="12"/>
      <c r="K41" s="20" t="str">
        <f t="shared" si="2"/>
        <v/>
      </c>
    </row>
    <row r="42" spans="1:11" ht="409" customHeight="1" x14ac:dyDescent="0.2">
      <c r="A42" s="33" t="s">
        <v>105</v>
      </c>
      <c r="B42" s="34"/>
      <c r="C42" s="35" t="s">
        <v>54</v>
      </c>
      <c r="D42" s="19" t="s">
        <v>106</v>
      </c>
      <c r="E42" s="16"/>
      <c r="F42" s="17"/>
      <c r="G42" s="23" t="str">
        <f>IF(B42="","",IF(AND(B4=1,B42&lt;1.8),1,IF(AND(B4=2,B42&lt;1.8),1,"")))</f>
        <v/>
      </c>
      <c r="H42" s="23" t="str">
        <f>IF(B42="","",IF(AND(B4=1,B42&gt;2.6),1,IF(AND(B4=2,B42&gt;2.6),1,"")))</f>
        <v/>
      </c>
      <c r="I42" s="12" t="str">
        <f>CONCATENATE("Ваш уровень ЛПНП ",B42," ммоль/л. - ниже нормы. Руководящие принципы Американской Ассоциации  Сердца"," (США) рекомендуют для наиболее строгой минимизации риска смертности от ССЗ стремиться к значению ","ЛПНП не более 1,8 ммоль/л. С течением времени рекомендуемые уровни ЛПНП постоянно уменьшаются, потому"," что снижение ЛПНП, в том числе до аномально низких уровней с помощью статинов, было наиболее"," эффективной стратегии для снижения сердечно-сосудистой смертности по данным ","(www.ncbi.nlm.nih.gov/pubmed/7566020) ","рандомизированного ","контролируемого исследования от Университета Глазго (Шотландия) с участием 6595 мужчин в возрасте от 45 до 64 лет со средним изначально уровнем ","ЛПНП и по данным ряда других исследований. Однако уровень ЛПНП ниже или равно 1,8 ммоль/л. также связан с повышенным риском онкологии, заболеваниями крови, ","инфекционными заболеваниями по данным исследования 2007 года от Университета Тель-Авива ","(Израиль) (www.ncbi.nlm.nih.gov/pubmed/18000291). ","Причины такого"," явления частично известны, но уточняются. ","Поэтому руководящие принципы Американской Ассоциации  Сердца (США) рекомендуют для минимизации"," риска смертности от ССЗ также еще один ПОЧТИ оптимальный уровень ЛПНП - от 1,8 до 2,6 ммоль/л. , ","которого мы сегодня и рекомендуем придерживаться."," Рекомендуется консультация кардиолога и нормализация уровня витамин К2 (МК-7) в крови")</f>
        <v>Ваш уровень ЛПНП  ммоль/л. - ниже нормы. Руководящие принципы Американской Ассоциации  Сердца (США) рекомендуют для наиболее строгой минимизации риска смертности от ССЗ стремиться к значению ЛПНП не более 1,8 ммоль/л. С течением времени рекомендуемые уровни ЛПНП постоянно уменьшаются, потому что снижение ЛПНП, в том числе до аномально низких уровней с помощью статинов, было наиболее эффективной стратегии для снижения сердечно-сосудистой смертности по данным (www.ncbi.nlm.nih.gov/pubmed/7566020) рандомизированного контролируемого исследования от Университета Глазго (Шотландия) с участием 6595 мужчин в возрасте от 45 до 64 лет со средним изначально уровнем ЛПНП и по данным ряда других исследований. Однако уровень ЛПНП ниже или равно 1,8 ммоль/л. также связан с повышенным риском онкологии, заболеваниями крови, инфекционными заболеваниями по данным исследования 2007 года от Университета Тель-Авива (Израиль) (www.ncbi.nlm.nih.gov/pubmed/18000291). Причины такого явления частично известны, но уточняются. Поэтому руководящие принципы Американской Ассоциации  Сердца (США) рекомендуют для минимизации риска смертности от ССЗ также еще один ПОЧТИ оптимальный уровень ЛПНП - от 1,8 до 2,6 ммоль/л. , которого мы сегодня и рекомендуем придерживаться. Рекомендуется консультация кардиолога и нормализация уровня витамин К2 (МК-7) в крови</v>
      </c>
      <c r="J42" s="12" t="str">
        <f>CONCATENATE("Ваш уровень ЛПНП ",B42," ммоль/л. - выше нормы. Руководящие принципы Американской Ассоциации  Сердца"," (США) рекомендуют для наиболее строгой минимизации риска смертности от ССЗ стремиться к значению ","ЛПНП не более 1,8 ммоль/л. С течением времени рекомендуемые уровни ЛПНП постоянно уменьшаются, потому"," что снижение ЛПНП, в том числе до аномально низких уровней с помощью статинов, было наиболее"," эффективной стратегии для снижения сердечно-сосудистой смертности по данным ","(www.ncbi.nlm.nih.gov/pubmed/7566020) ","рандомизированного ","контролируемого исследования от Университета Глазго (Шотландия) с участием 6595 мужчин в возрасте от 45 до 64 лет со средним изначально уровнем ","ЛПНП и по данным ряда других исследований. Однако уровень ЛПНП ниже или равно 1,8 ммоль/л. также связан с повышенным риском онкологии, заболеваниями крови, ","инфекционными заболеваниями по данным исследования 2007 года от Университета Тель-Авива ","(Израиль) (www.ncbi.nlm.nih.gov/pubmed/18000291). ","Причины такого"," явления частично известны, но уточняются. В частности ЛПНП является переносчиком витамина К2 (МК-7), который влияет на метаболизм кальция и онкологию."," При дефиците витамина К2 повышается риск рака и ССЗ. Поэтому руководящие принципы Американской Ассоциации  Сердца (США) рекомендуют для минимизации"," риска смертности от ССЗ также еще один ПОЧТИ оптимальный уровень ЛПНП - от 1,8 до 2,6 ммоль/л. , ","которого мы сегодня и рекомендуем придерживаться."," Рекомендуется консультация кардиолога.")</f>
        <v>Ваш уровень ЛПНП  ммоль/л. - выше нормы. Руководящие принципы Американской Ассоциации  Сердца (США) рекомендуют для наиболее строгой минимизации риска смертности от ССЗ стремиться к значению ЛПНП не более 1,8 ммоль/л. С течением времени рекомендуемые уровни ЛПНП постоянно уменьшаются, потому что снижение ЛПНП, в том числе до аномально низких уровней с помощью статинов, было наиболее эффективной стратегии для снижения сердечно-сосудистой смертности по данным (www.ncbi.nlm.nih.gov/pubmed/7566020) рандомизированного контролируемого исследования от Университета Глазго (Шотландия) с участием 6595 мужчин в возрасте от 45 до 64 лет со средним изначально уровнем ЛПНП и по данным ряда других исследований. Однако уровень ЛПНП ниже или равно 1,8 ммоль/л. также связан с повышенным риском онкологии, заболеваниями крови, инфекционными заболеваниями по данным исследования 2007 года от Университета Тель-Авива (Израиль) (www.ncbi.nlm.nih.gov/pubmed/18000291). Причины такого явления частично известны, но уточняются. В частности ЛПНП является переносчиком витамина К2 (МК-7), который влияет на метаболизм кальция и онкологию. При дефиците витамина К2 повышается риск рака и ССЗ. Поэтому руководящие принципы Американской Ассоциации  Сердца (США) рекомендуют для минимизации риска смертности от ССЗ также еще один ПОЧТИ оптимальный уровень ЛПНП - от 1,8 до 2,6 ммоль/л. , которого мы сегодня и рекомендуем придерживаться. Рекомендуется консультация кардиолога.</v>
      </c>
      <c r="K42" s="20" t="str">
        <f t="shared" si="2"/>
        <v/>
      </c>
    </row>
    <row r="43" spans="1:11" ht="253" customHeight="1" x14ac:dyDescent="0.2">
      <c r="A43" s="33" t="s">
        <v>107</v>
      </c>
      <c r="B43" s="35" t="str">
        <f>IF(OR(SUM(B41)=0,SUM(B40)=0),"",ROUND((SUM(B40)-SUM(B41))/SUM(B41),2))</f>
        <v/>
      </c>
      <c r="C43" s="35"/>
      <c r="D43" s="19" t="s">
        <v>108</v>
      </c>
      <c r="E43" s="16"/>
      <c r="F43" s="17"/>
      <c r="G43" s="17"/>
      <c r="H43" s="23" t="str">
        <f>IF(B43="","",IF(AND(B4=1,B43&gt;2.33),1,IF(AND(B4=2,B43&gt;2.33),1,"")))</f>
        <v/>
      </c>
      <c r="I43" s="12"/>
      <c r="J43" s="12" t="str">
        <f>CONCATENATE("Ваш индекс атерогенности ",B43," - выше нормы. Это означает, что в составе Вашего холестерина нужно в первую очередь"," снизить ЛПНП и во вторую очередь повысить ЛПВП. Так как одно лишь повышение ЛПВП может наоборот"," повысить риск ССЗ. Совместное же снижение ЛПНП и повышение ЛПВП - синергично снижают риск ССЗ по"," данным 2011 года от Экспертов по питанию Гарвардской школы общественного здравоохранения (США) "," (www.ncbi.nlm.nih.gov/pubmed/21421846), а также по данным ряда клинических испытаний ","www.nih.gov/news-events/news-releases/nih-stops-clinical-trial-combination-cholesterol-treatment) ","","(www.ncbi.nlm.nih.gov/pubmed/25038074)."," Рекомендуется консультация кардиолога.           Если взять за основу рекомендуемые выше значения Общего холестерина, а также ЛПВП, то индекс ","атерогенности должен получаться не более 2,33 ","         =          ((ОБЩИЙ ХОЛЕСТЕРИН (5,2) - ЛПВП (1,56))/ЛПВП(1,56)")</f>
        <v>Ваш индекс атерогенности  - выше нормы. Это означает, что в составе Вашего холестерина нужно в первую очередь снизить ЛПНП и во вторую очередь повысить ЛПВП. Так как одно лишь повышение ЛПВП может наоборот повысить риск ССЗ. Совместное же снижение ЛПНП и повышение ЛПВП - синергично снижают риск ССЗ по данным 2011 года от Экспертов по питанию Гарвардской школы общественного здравоохранения (США)  (www.ncbi.nlm.nih.gov/pubmed/21421846), а также по данным ряда клинических испытаний www.nih.gov/news-events/news-releases/nih-stops-clinical-trial-combination-cholesterol-treatment) (www.ncbi.nlm.nih.gov/pubmed/25038074). Рекомендуется консультация кардиолога.           Если взять за основу рекомендуемые выше значения Общего холестерина, а также ЛПВП, то индекс атерогенности должен получаться не более 2,33          =          ((ОБЩИЙ ХОЛЕСТЕРИН (5,2) - ЛПВП (1,56))/ЛПВП(1,56)</v>
      </c>
      <c r="K43" s="20" t="str">
        <f t="shared" si="2"/>
        <v/>
      </c>
    </row>
    <row r="44" spans="1:11" ht="409" customHeight="1" x14ac:dyDescent="0.2">
      <c r="A44" s="33" t="s">
        <v>109</v>
      </c>
      <c r="B44" s="34"/>
      <c r="C44" s="35" t="s">
        <v>30</v>
      </c>
      <c r="D44" s="19" t="s">
        <v>110</v>
      </c>
      <c r="E44" s="16"/>
      <c r="F44" s="17"/>
      <c r="G44" s="17"/>
      <c r="H44" s="23" t="str">
        <f>IF(B44="","",IF(AND(B3&lt;51,B44&gt;5.69),1,IF(AND(B3&gt;50,B44&gt;5.69),1,"")))</f>
        <v/>
      </c>
      <c r="I44" s="12"/>
      <c r="J44" s="12" t="str">
        <f>IF(B3&gt;50,CONCATENATE("Ваш гликированный гемоглобин ",B44," % - выше нормы. ","По данным Американской Диабетической Ассоциации состояние предшествующее сахарному "," диабету определяется как hba1c 5.7–6.4% (39-47 ммоль/моль). По данным мета-анализа от 2016 года Южного Медицинского Университета","  Китая, включающий 53 исследования с участием 611 339 пациентов, показал, что","  гликированный гемоглобин в диапазоне 5.7–6.4% (преддиабет) особенно","  в сочетании даже небольшим повышением уровня глюкозы натощак","  связан с повышенным риском общей смертности, риском ССЗ, инсульта и ишемической болезни сердца."," (www.bmj.com/content/355/bmj.i5953)"," По данным от 2017 года из исследования Оклендского Университета (Новая Зеландия) с участием около 31 "," 148 пациентов среднего и пожилого возраста  (www.ncbi.nlm.nih.gov/pubmed/28319002) гликированный","  гемоглобин, повышенный выше чем 50 ммоль/моль (6.7%) у людей старше 51-го года,  значительно лучше, чем глюкоза натощак и чем Глюкозотолерантный","  тест (через 2 часа после употребления глюкозы) предсказывает в следующие 4 года у изначально недиабетических пациентов","  смертность от всех причин (в том числе от Ишемической болезни сердца), даже после поправок на возраст, пол, этническую принадлежность, ","  курение, а также независимо от значений глюкозотолерантного теста и","  глюкозы натощак.    Предсказывает развитие ССЗ, ИБС, будущего","  инсульта, развития сахарного диабета и микрососудистых осложнений."," Рекомендуется консультация эндокринолога или терапевта"),CONCATENATE("Ваш гликированный гемоглобин ",B44," % - выше нормы. ","По данным Американской Диабетической Ассоциации состояние предшествующее сахарному "," диабету определяется как hba1c 5.7–6.4% (39-47 ммоль/моль). По данным мета-анализа от 2016 года Южного Медицинского Университета","  Китая, включающий 53 исследований с участием 611 339 пациентов, показал, что","  даже гликированный гемоглобин в диапазоне 5.7–6.4% (преддиабет) особенно","  в сочетании с небольшим повышением уровня глюкозы натощак","  связан с повышенным риском общей смертности, риском ССЗ, инсульта и ишемической болезньи сердца."," (www.bmj.com/content/355/bmj.i5953) Рекомендуется консультация эндокринолога"))</f>
        <v>Ваш гликированный гемоглобин  % - выше нормы. По данным Американской Диабетической Ассоциации состояние предшествующее сахарному  диабету определяется как hba1c 5.7–6.4% (39-47 ммоль/моль). По данным мета-анализа от 2016 года Южного Медицинского Университета  Китая, включающий 53 исследований с участием 611 339 пациентов, показал, что  даже гликированный гемоглобин в диапазоне 5.7–6.4% (преддиабет) особенно  в сочетании с небольшим повышением уровня глюкозы натощак  связан с повышенным риском общей смертности, риском ССЗ, инсульта и ишемической болезньи сердца. (www.bmj.com/content/355/bmj.i5953) Рекомендуется консультация эндокринолога</v>
      </c>
      <c r="K44" s="20" t="str">
        <f t="shared" si="2"/>
        <v/>
      </c>
    </row>
    <row r="45" spans="1:11" ht="259" customHeight="1" x14ac:dyDescent="0.2">
      <c r="A45" s="38" t="s">
        <v>111</v>
      </c>
      <c r="B45" s="39"/>
      <c r="C45" s="35" t="s">
        <v>54</v>
      </c>
      <c r="D45" s="19" t="s">
        <v>112</v>
      </c>
      <c r="E45" s="16"/>
      <c r="F45" s="16"/>
      <c r="G45" s="24" t="str">
        <f>IF(B45="","",IF(B45&lt;0.25,1,""))</f>
        <v/>
      </c>
      <c r="H45" s="23" t="str">
        <f>IF(B45="","",IF(B45&gt;0.5,1,""))</f>
        <v/>
      </c>
      <c r="I45" s="12" t="str">
        <f>CONCATENATE("Ваш ",A45," - ",B45," ",C45," - ниже нормы. 2018 год, Университет Брока, Канада. ","Используя больший набор данных с измерением уровня лития в воде в ","различных округах Техаса, было показано, что чем выше концентрации лития в водопроводной воде, тем ниже ","смертность по всем причинам и смертность от болезни ","Альцгеймера. (www.ncbi.nlm.nih.gov/pubmed/29206474) (www.ncbi.nlm.nih.gov/pubmed/29103043). 2014 года, от медицинского ","центра Тафтса, Бостон, ","Массачусетс, США. Обзор оценил 24 исследования по терапии деменции литием. Литий в мини дозах ","(значительно ниже терапевтических), по-видимому, имеет ","биологические преимущества для снижения риска деменции и самоубийств (www.ncbi.nlm.nih.gov/pubmed/24919696). ","Если уровень лития ниже нормы, то целесообразно проконсультироваться с врачом ","о целесообразности повышения лития в крови.")</f>
        <v>Ваш Литий в крови -  ммоль/л - ниже нормы. 2018 год, Университет Брока, Канада. Используя больший набор данных с измерением уровня лития в воде в различных округах Техаса, было показано, что чем выше концентрации лития в водопроводной воде, тем ниже смертность по всем причинам и смертность от болезни Альцгеймера. (www.ncbi.nlm.nih.gov/pubmed/29206474) (www.ncbi.nlm.nih.gov/pubmed/29103043). 2014 года, от медицинского центра Тафтса, Бостон, Массачусетс, США. Обзор оценил 24 исследования по терапии деменции литием. Литий в мини дозах (значительно ниже терапевтических), по-видимому, имеет биологические преимущества для снижения риска деменции и самоубийств (www.ncbi.nlm.nih.gov/pubmed/24919696). Если уровень лития ниже нормы, то целесообразно проконсультироваться с врачом о целесообразности повышения лития в крови.</v>
      </c>
      <c r="J45" s="12" t="str">
        <f>CONCATENATE("Ваш ",A45," - ",B45," ",C45," - выше нормы. Рекомендуется снизить потребления воды и продуктов питания, богатых литием")</f>
        <v>Ваш Литий в крови -  ммоль/л - выше нормы. Рекомендуется снизить потребления воды и продуктов питания, богатых литием</v>
      </c>
      <c r="K45" s="20" t="str">
        <f t="shared" si="2"/>
        <v/>
      </c>
    </row>
    <row r="46" spans="1:11" ht="332" customHeight="1" x14ac:dyDescent="0.2">
      <c r="A46" s="38" t="s">
        <v>113</v>
      </c>
      <c r="B46" s="34"/>
      <c r="C46" s="35" t="s">
        <v>30</v>
      </c>
      <c r="D46" s="19" t="s">
        <v>114</v>
      </c>
      <c r="E46" s="16"/>
      <c r="F46" s="16"/>
      <c r="G46" s="24" t="str">
        <f>IF(B46="","",IF(B46&lt;50,1,""))</f>
        <v/>
      </c>
      <c r="H46" s="23" t="str">
        <f>IF(B46="","",IF(B46&gt;80,1,""))</f>
        <v/>
      </c>
      <c r="I46" s="12" t="str">
        <f>CONCATENATE("Ваша ",A46," - ",B46," ",C46," - ниже нормы. Доля наивных Т-клеток ","человека линейно уменьшается с возрастом. Увеличение доли наивных Т-клеток, обеспечивает лучшую ","иммунорегуляторную функцию, что снижает общее воспаление, усиливающееся по мере старения ","организма из-за активации аутоиммунных процессов, ","увеличивает эффективность распознавания раковых клеток и обеспечивает более сбалансированный иммунный ","ответ (www.ncbi.nlm.nih.gov/pubmed/24510963). Однако аэробные физические упражнения ","(например, бег трусцой 150-300 минут в неделю на правильном пульсе ","(65-80% от ЧСС-ВОЗРАСТ)) могут обращать вспять ухудшения соотношение наивных Т-клеток к клеткам Т-памяти, ","вызванного окислительным стрессом (www.ncbi.nlm.nih.gov/pubmed/30189231) ","(www.ncbi.nlm.nih.gov/pubmed/27023222). Курсы голоданий по 4-5 дней ","подряд ежемесячно, либо FMD диета ","омолаживают гемопоэтические стволовые клетки, из которых формируются будущие клетки иммунитета, ","что также способствует повышению количества наивных Т-клеток (www.ncbi.nlm.nih.gov/pubmed/25072352)")</f>
        <v>Ваша Доля наивных Т-лимфоцитов (CD45RAhigh/CD27high) -  % - ниже нормы. Доля наивных Т-клеток человека линейно уменьшается с возрастом. Увеличение доли наивных Т-клеток, обеспечивает лучшую иммунорегуляторную функцию, что снижает общее воспаление, усиливающееся по мере старения организма из-за активации аутоиммунных процессов, увеличивает эффективность распознавания раковых клеток и обеспечивает более сбалансированный иммунный ответ (www.ncbi.nlm.nih.gov/pubmed/24510963). Однако аэробные физические упражнения (например, бег трусцой 150-300 минут в неделю на правильном пульсе (65-80% от ЧСС-ВОЗРАСТ)) могут обращать вспять ухудшения соотношение наивных Т-клеток к клеткам Т-памяти, вызванного окислительным стрессом (www.ncbi.nlm.nih.gov/pubmed/30189231) (www.ncbi.nlm.nih.gov/pubmed/27023222). Курсы голоданий по 4-5 дней подряд ежемесячно, либо FMD диета омолаживают гемопоэтические стволовые клетки, из которых формируются будущие клетки иммунитета, что также способствует повышению количества наивных Т-клеток (www.ncbi.nlm.nih.gov/pubmed/25072352)</v>
      </c>
      <c r="J46" s="12"/>
      <c r="K46" s="20" t="str">
        <f t="shared" si="2"/>
        <v/>
      </c>
    </row>
    <row r="47" spans="1:11" ht="335" customHeight="1" x14ac:dyDescent="0.2">
      <c r="A47" s="38" t="s">
        <v>115</v>
      </c>
      <c r="B47" s="34"/>
      <c r="C47" s="35" t="s">
        <v>54</v>
      </c>
      <c r="D47" s="19" t="s">
        <v>116</v>
      </c>
      <c r="E47" s="16"/>
      <c r="F47" s="16"/>
      <c r="G47" s="24" t="str">
        <f>IF(B47="","",IF(B47&lt;0.95,1,""))</f>
        <v/>
      </c>
      <c r="H47" s="23" t="str">
        <f>IF(B47="","",IF(B47&gt;1.03,1,""))</f>
        <v/>
      </c>
      <c r="I47" s="12" t="str">
        <f>CONCATENATE("Ваш ",A47," - ",B47," ",C47," - ниже нормы. Добавки магния у людей с ХПН в ","краткосрочном исследовании повышали только магний в крови ","(но не внутриклеточный), но при этом блокировали кальцификацию (www.ncbi.nlm.nih.gov/pubmed/29142966  2016 год, ","Отделение кардиологии, Нефрологии и ","эндокринологии, больница Нордшеллендс, Хиллеред, Дания). Высокий в пределах нормы уровень ","магния в крови, повышенный диетически у изначально ","здоровых людей (без ССЗ), связан с сокращением смертности от ССЗ на 34% у людей в ","возрасте 55-80 лет. А у мужчин сокращалась смертность от рака на ","50% (www.ncbi.nlm.nih.gov/pubmed/24259558  2014 год, Университетская больница ","Сан-Хуан-де-Реус Испания). ","В популяционном исследовании ","здоровья в Поморье с медианой наблюдения 10.1 лет, ","низкий сывороточного магния ≤0,73 ммоль/л ","оказался связан с более высоким риском смертности от всех причин и смертностью от ССЗ. ","А уровень магния с &gt;0.95 ммоль/л связан с 29% снижением риска ","смертности от всех причин, но не от ССЗ (https://www.ncbi.nlm.nih.gov/pmc/articles/PMC4517021)"," Рекомендуется консультация врача для возможного назначения препаратов магния")</f>
        <v>Ваш Магний в крови -  ммоль/л - ниже нормы. Добавки магния у людей с ХПН в краткосрочном исследовании повышали только магний в крови (но не внутриклеточный), но при этом блокировали кальцификацию (www.ncbi.nlm.nih.gov/pubmed/29142966  2016 год, Отделение кардиологии, Нефрологии и эндокринологии, больница Нордшеллендс, Хиллеред, Дания). Высокий в пределах нормы уровень магния в крови, повышенный диетически у изначально здоровых людей (без ССЗ), связан с сокращением смертности от ССЗ на 34% у людей в возрасте 55-80 лет. А у мужчин сокращалась смертность от рака на 50% (www.ncbi.nlm.nih.gov/pubmed/24259558  2014 год, Университетская больница Сан-Хуан-де-Реус Испания). В популяционном исследовании здоровья в Поморье с медианой наблюдения 10.1 лет, низкий сывороточного магния ≤0,73 ммоль/л оказался связан с более высоким риском смертности от всех причин и смертностью от ССЗ. А уровень магния с &gt;0.95 ммоль/л связан с 29% снижением риска смертности от всех причин, но не от ССЗ (https://www.ncbi.nlm.nih.gov/pmc/articles/PMC4517021) Рекомендуется консультация врача для возможного назначения препаратов магния</v>
      </c>
      <c r="J47" s="12" t="str">
        <f>CONCATENATE("Ваш ",A47," - ",B47," ",C47," - выше нормы. Повышенный уровень магния в крови"," связан с более быстрым снижением функции почек. Магний т","акже ингибирует образование гидроксиапатита в кости, что при его переизбытке может привести к остеомаляции ","и может быть токсичным с точки зрения здоровья"," костей (www.ncbi.nlm.nih.gov/pubmed/29055421). Терапия высокими дозами магния является причиной ","смерти у детей раннего возраста (www.ncbi.nlm.nih.gov/pubmed/10654978) и ","тяжелой гипермагниемии, которая зафиксирована у одной пожилой женщины ","(www.ncbi.nlm.nih.gov/pubmed/15942092) и у одной молодой девушки (www.ncbi.nlm.nih.gov/pubmed/17726419),"," все они имели здоровые почки. Рекомендуется снижать потребление магния с продуктами питания.")</f>
        <v>Ваш Магний в крови -  ммоль/л - выше нормы. Повышенный уровень магния в крови связан с более быстрым снижением функции почек. Магний также ингибирует образование гидроксиапатита в кости, что при его переизбытке может привести к остеомаляции и может быть токсичным с точки зрения здоровья костей (www.ncbi.nlm.nih.gov/pubmed/29055421). Терапия высокими дозами магния является причиной смерти у детей раннего возраста (www.ncbi.nlm.nih.gov/pubmed/10654978) и тяжелой гипермагниемии, которая зафиксирована у одной пожилой женщины (www.ncbi.nlm.nih.gov/pubmed/15942092) и у одной молодой девушки (www.ncbi.nlm.nih.gov/pubmed/17726419), все они имели здоровые почки. Рекомендуется снижать потребление магния с продуктами питания.</v>
      </c>
      <c r="K47" s="20" t="str">
        <f t="shared" si="2"/>
        <v/>
      </c>
    </row>
    <row r="48" spans="1:11" ht="387" customHeight="1" x14ac:dyDescent="0.2">
      <c r="A48" s="38" t="s">
        <v>117</v>
      </c>
      <c r="B48" s="34"/>
      <c r="C48" s="35" t="s">
        <v>30</v>
      </c>
      <c r="D48" s="19" t="s">
        <v>118</v>
      </c>
      <c r="E48" s="16"/>
      <c r="F48" s="16"/>
      <c r="G48" s="23" t="str">
        <f>IF(B48="","",IF(AND(B4=1,B48&lt;41),1,IF(AND(B4=2,B48&lt;36),1,"")))</f>
        <v/>
      </c>
      <c r="H48" s="23" t="str">
        <f>IF(B48="","",IF(AND(B4=1,B48&gt;53),1,IF(AND(B4=2,B48&gt;46),1,"")))</f>
        <v/>
      </c>
      <c r="I48" s="12" t="str">
        <f>CONCATENATE("Ваш ",A48," - ",B48," ",C48," - ниже нормы. Рекомендуется обратиться к врачу для консультации")</f>
        <v>Ваш Гематокрит -  % - ниже нормы. Рекомендуется обратиться к врачу для консультации</v>
      </c>
      <c r="J48" s="12" t="str">
        <f>CONCATENATE("Ваш ",A48," - ",B48," ",C48," - выше нормы. Сильно повышенный гематокрит может ","означать опасное для жизни состояние при заболеваниях крови и др. Однако ","немного повышенный гематокрит, в отсутствии основного гематологического или медицинского ","разлада, может быть результатом повышенных уровней инсулина ","и отражать сопротивление инсулина — снижение чувствительности к инсулину (индекс ","инсулинорезистентности HOMA-IR). Более высокий гематокрит увеличивает риск ","сахарного диабета 2-го типа, даже после ограничения выборки пациентов с гематокритом в пределах нормы. Высокие значения гематокрита увеличивают вязкость крови и ухудшают доставку кислорода и глюкозы в метаболически активные клетки ткани, ","что может усугубить функцию клеток при диабете 2-го ","типа (www.ncbi.nlm.nih.gov/pubmed/26872721). Поэтому, если в анализах крови немного повышен и гематокрит ","(даже в пределах нормы) и HOMA-IR одновременно, то это говорит о ","повышенном риске сахарного диабета в будущем. В таком случае, помимо снижения HOMA-IR, снижение ","гематокрита может быть дополнительной мишенью для лечения инулином ","в дополнении к основным терапиям, даже если уровень гематокрита повышен незначительно, ","либо находится на верхней границе нормы ","(www.ncbi.nlm.nih.gov/pubmed/26872721) (http://care.diabetesjournals.org/content/27/9/2245.long). Рекомендуется обратиться ","к врачу для консультации.")</f>
        <v>Ваш Гематокрит -  % - выше нормы. Сильно повышенный гематокрит может означать опасное для жизни состояние при заболеваниях крови и др. Однако немного повышенный гематокрит, в отсутствии основного гематологического или медицинского разлада, может быть результатом повышенных уровней инсулина и отражать сопротивление инсулина — снижение чувствительности к инсулину (индекс инсулинорезистентности HOMA-IR). Более высокий гематокрит увеличивает риск сахарного диабета 2-го типа, даже после ограничения выборки пациентов с гематокритом в пределах нормы. Высокие значения гематокрита увеличивают вязкость крови и ухудшают доставку кислорода и глюкозы в метаболически активные клетки ткани, что может усугубить функцию клеток при диабете 2-го типа (www.ncbi.nlm.nih.gov/pubmed/26872721). Поэтому, если в анализах крови немного повышен и гематокрит (даже в пределах нормы) и HOMA-IR одновременно, то это говорит о повышенном риске сахарного диабета в будущем. В таком случае, помимо снижения HOMA-IR, снижение гематокрита может быть дополнительной мишенью для лечения инулином в дополнении к основным терапиям, даже если уровень гематокрита повышен незначительно, либо находится на верхней границе нормы (www.ncbi.nlm.nih.gov/pubmed/26872721) (http://care.diabetesjournals.org/content/27/9/2245.long). Рекомендуется обратиться к врачу для консультации.</v>
      </c>
      <c r="K48" s="20" t="str">
        <f t="shared" si="2"/>
        <v/>
      </c>
    </row>
    <row r="49" spans="1:11" ht="317" customHeight="1" x14ac:dyDescent="0.2">
      <c r="A49" s="38" t="s">
        <v>119</v>
      </c>
      <c r="B49" s="34"/>
      <c r="C49" s="35" t="s">
        <v>120</v>
      </c>
      <c r="D49" s="19" t="s">
        <v>121</v>
      </c>
      <c r="E49" s="16"/>
      <c r="F49" s="16"/>
      <c r="G49" s="24" t="str">
        <f>IF(B49="","",IF(B49&lt;26,1,""))</f>
        <v/>
      </c>
      <c r="H49" s="23" t="str">
        <f>IF(B49="","",IF(B49&gt;117,1,""))</f>
        <v/>
      </c>
      <c r="I49" s="12" t="str">
        <f>CONCATENATE("Ваш ",A49," - ",B49," ",C49," - ниже нормы.")</f>
        <v>Ваш ox-LDL (Окисленный липопротеин низкой плотности) -  МЕ/л - ниже нормы.</v>
      </c>
      <c r="J49" s="12" t="str">
        <f>CONCATENATE("Ваш ",A49," - ",B49," ",C49," - выше нормы. Накопление липопротеинов низкой ","плотности (ЛПНП) в субэндотелиальном внеклеточном пространстве способствует ","скоплению моноцитов и их дифференцировке в макрофаги. Последние производят ","активные виды азота и кислорода, которые индуцируют окисление ЛПНП, создавая ","окисленные ЛПНП (oxLDL). OxLDL цитотоксичны для эндотелиальных клеток. ","В результате образуются пенистые клетки, благодаря которым возникает атеросклероз ","сосудов, который виноват в 60% всех случаев смертности в РФ. 2013 год, ","Университет Падуи, Италия. Повышенные уровни окисленных ЛПНП (oxLDL) ухудшают"," прогноз при сердечно-сосудистых заболеваниях в течение 7 летнего наблюдения. ","Однако после 65 лет маркер oxLDL не показывает реальный окислительный"," стресс (www.ncbi.nlm.nih.gov/pubmed/23102599). Университетский Центр ","здравоохранения Estrie, Квебек, Канада. РКИ показало, что метформин у пациентов ","сахарным диабетом снижает маркеры ","окисления липидов в ЛПНП и ЛПВП"," (www.ncbi.nlm.nih.gov/pubmed/10421233).")</f>
        <v>Ваш ox-LDL (Окисленный липопротеин низкой плотности) -  МЕ/л - выше нормы. Накопление липопротеинов низкой плотности (ЛПНП) в субэндотелиальном внеклеточном пространстве способствует скоплению моноцитов и их дифференцировке в макрофаги. Последние производят активные виды азота и кислорода, которые индуцируют окисление ЛПНП, создавая окисленные ЛПНП (oxLDL). OxLDL цитотоксичны для эндотелиальных клеток. В результате образуются пенистые клетки, благодаря которым возникает атеросклероз сосудов, который виноват в 60% всех случаев смертности в РФ. 2013 год, Университет Падуи, Италия. Повышенные уровни окисленных ЛПНП (oxLDL) ухудшают прогноз при сердечно-сосудистых заболеваниях в течение 7 летнего наблюдения. Однако после 65 лет маркер oxLDL не показывает реальный окислительный стресс (www.ncbi.nlm.nih.gov/pubmed/23102599). Университетский Центр здравоохранения Estrie, Квебек, Канада. РКИ показало, что метформин у пациентов сахарным диабетом снижает маркеры окисления липидов в ЛПНП и ЛПВП (www.ncbi.nlm.nih.gov/pubmed/10421233).</v>
      </c>
      <c r="K49" s="20" t="str">
        <f>IF(SUM(B49)=0,"",IF(SUM(B3)&gt;64,"После 65 лет маркер oxLDL не показывает реальный окислительный стресс (www.ncbi.nlm.nih.gov/pubmed/23102599)",IF(AND(H49="",G49=""),"",IF(G49="",J49,I49))))</f>
        <v/>
      </c>
    </row>
    <row r="50" spans="1:11" ht="365" customHeight="1" x14ac:dyDescent="0.2">
      <c r="A50" s="33" t="s">
        <v>122</v>
      </c>
      <c r="B50" s="34"/>
      <c r="C50" s="35" t="s">
        <v>123</v>
      </c>
      <c r="D50" s="19" t="s">
        <v>124</v>
      </c>
      <c r="E50" s="16"/>
      <c r="F50" s="17"/>
      <c r="G50" s="17"/>
      <c r="H50" s="23" t="str">
        <f>IF(B50="","",IF(AND(B4=1,B50&gt;0.59),1,IF(AND(B4=2,B50&gt;0.59),1,"")))</f>
        <v/>
      </c>
      <c r="I50" s="12"/>
      <c r="J50" s="12" t="str">
        <f>CONCATENATE("Ваш КИМ сонных артерий  ",B50," - выше нормы. В ряде исследований ","было показано, что толщина комплекса интима-медиа (КИМ) сонной артерии растет с возрастом и является"," хорошим индикатором старения. До 25 лет толщина КИМ в среднем не выше 0,6 мм, но уже к 45 годам КИМ в"," среднем выше 0,8 мм. И даже в 25-34 года (лет) он у мужчин может уже достигать отметки 0,8 мм"," (www.revespcardiol.org/en/carotid-intima-media-thickness-in-subjects/articulo/13146858)","
Увеличение толщины КИМ сонной артерии всего на 0,1 мм статистически значимо ","увеличивает риск инфаркта сердца на 15%, а риск инсульта мозга на 18% с учетом поправок на возраст ","и пол. А ведь это основные причины смерти ","(www.ncbi.nlm.nih.gov/pubmed/17242284)
Более того,"," толщина каротидного КИМ также связана с сахарным диабетом, ожирением, гипертонической болезнью и другими ","проявлениями метаболического синдрома, а также с секрецией инсулина ","и даже с наличием камней в желчном пузыре"," (www.ncbi.nlm.nih.gov/pubmed/24681913)","
(www.ncbi.nlm.nih.gov/pubmed/26828784)","
(www.ncbi.nlm.nih.gov/pubmed/24921032)")</f>
        <v>Ваш КИМ сонных артерий   - выше нормы. В ряде исследований было показано, что толщина комплекса интима-медиа (КИМ) сонной артерии растет с возрастом и является хорошим индикатором старения. До 25 лет толщина КИМ в среднем не выше 0,6 мм, но уже к 45 годам КИМ в среднем выше 0,8 мм. И даже в 25-34 года (лет) он у мужчин может уже достигать отметки 0,8 мм (www.revespcardiol.org/en/carotid-intima-media-thickness-in-subjects/articulo/13146858)
Увеличение толщины КИМ сонной артерии всего на 0,1 мм статистически значимо увеличивает риск инфаркта сердца на 15%, а риск инсульта мозга на 18% с учетом поправок на возраст и пол. А ведь это основные причины смерти (www.ncbi.nlm.nih.gov/pubmed/17242284)
Более того, толщина каротидного КИМ также связана с сахарным диабетом, ожирением, гипертонической болезнью и другими проявлениями метаболического синдрома, а также с секрецией инсулина и даже с наличием камней в желчном пузыре (www.ncbi.nlm.nih.gov/pubmed/24681913)
(www.ncbi.nlm.nih.gov/pubmed/26828784)
(www.ncbi.nlm.nih.gov/pubmed/24921032)</v>
      </c>
      <c r="K50" s="20" t="str">
        <f>IF(SUM(B50)=0,"",IF(AND(H50="",G50=""),"",IF(G50="",J50,I50)))</f>
        <v/>
      </c>
    </row>
  </sheetData>
  <sheetProtection algorithmName="SHA-512" hashValue="53sThxSN5/BmwoLDP8Jcv8OBpxN0o9eG91R6u5ulw0mSHUUYA/57l1Y3ZMDwOITfZH8Aaoa+br4PoiypZCohUA==" saltValue="61wc1BTNSNcadDx2I/ckpg==" spinCount="100000" sheet="1" objects="1" scenarios="1"/>
  <mergeCells count="7">
    <mergeCell ref="K5:K6"/>
    <mergeCell ref="A1:A2"/>
    <mergeCell ref="B1:B2"/>
    <mergeCell ref="C1:C2"/>
    <mergeCell ref="D1:D2"/>
    <mergeCell ref="K1:K2"/>
    <mergeCell ref="F2:H2"/>
  </mergeCells>
  <hyperlinks>
    <hyperlink ref="A25" r:id="rId1" display="Калий (К+), Натрий (Na2+), Хлор (CI-)" xr:uid="{A52914CD-1B93-064C-8671-6D8BA00CDE60}"/>
    <hyperlink ref="A17" r:id="rId2" xr:uid="{DDC500C2-0F15-F34A-875F-65EB70F3FECD}"/>
    <hyperlink ref="A39" r:id="rId3" xr:uid="{69298FFC-52DD-2240-A156-46C870D86325}"/>
    <hyperlink ref="A23" r:id="rId4" xr:uid="{808E58B4-2503-DE4E-9D02-85E510863DEA}"/>
    <hyperlink ref="A16" r:id="rId5" xr:uid="{F47486EB-624E-EF47-8458-2F13D0F4EF33}"/>
    <hyperlink ref="A15" r:id="rId6" xr:uid="{E2E3E6C5-AEE1-104E-9C2E-C3C80F5F9080}"/>
    <hyperlink ref="A40" r:id="rId7" xr:uid="{0E4BFEFB-7A6E-E64D-947F-BB704B356E7E}"/>
    <hyperlink ref="A41" r:id="rId8" xr:uid="{D8205118-8246-F240-B8C7-815C3D9B04FF}"/>
    <hyperlink ref="A42" r:id="rId9" xr:uid="{993B2A6A-19F2-4B44-90B6-8BFEC8AB99DB}"/>
    <hyperlink ref="A30" r:id="rId10" display="С-реактивный белок (ультрачувствительный)" xr:uid="{0954FE74-02E8-9548-A3D5-B4BCBB40CE20}"/>
    <hyperlink ref="A24" r:id="rId11" xr:uid="{6C0F1DD2-BE7A-EF4F-9E89-B567B7584FB1}"/>
    <hyperlink ref="A44" r:id="rId12" xr:uid="{D129BE1C-571A-1744-8F1B-9BE24E3B967B}"/>
    <hyperlink ref="A20" r:id="rId13" display="Витамин Д (25-OH)" xr:uid="{F4EC7B47-7B53-434C-A35B-932EAB96EDB8}"/>
    <hyperlink ref="A29" r:id="rId14" xr:uid="{A559A4AA-7FB2-AF43-A881-08D9CB1B9AF2}"/>
    <hyperlink ref="A14" r:id="rId15" display="Частоста сердечных сокращений в покое" xr:uid="{8E3A8AAE-5213-724B-860A-7079150877E9}"/>
    <hyperlink ref="A18" r:id="rId16" xr:uid="{3D6FFB87-CAB5-E042-A2C7-3C799CC9D6BB}"/>
    <hyperlink ref="A26" r:id="rId17" xr:uid="{B8B87333-28AC-BF47-8295-84D853A38C59}"/>
    <hyperlink ref="A12" r:id="rId18" xr:uid="{BE67ACF5-8AD5-C646-B21E-968C0F6FBB3E}"/>
    <hyperlink ref="A27" r:id="rId19" xr:uid="{DC857BF3-A315-3E48-9A68-01AED8292307}"/>
    <hyperlink ref="A5" r:id="rId20" xr:uid="{1B959776-6F11-5144-9170-615DDADC0ED4}"/>
    <hyperlink ref="A6" r:id="rId21" xr:uid="{0076EC5A-A82A-B14A-A3AC-C7D7D99F4BDF}"/>
    <hyperlink ref="A50" r:id="rId22" xr:uid="{BF2E4149-67CF-8547-8DDD-516A40CFAF99}"/>
    <hyperlink ref="A28" r:id="rId23" xr:uid="{620A5680-012B-3B4D-A1B8-A56FB83CC147}"/>
    <hyperlink ref="A22" r:id="rId24" display="Индекс HOMA-IR" xr:uid="{72B1A608-F50C-784E-8AEA-00F6E055C948}"/>
    <hyperlink ref="A21" r:id="rId25" xr:uid="{33EE1577-3CEA-FD43-B0AE-71490DFE366C}"/>
    <hyperlink ref="A10" r:id="rId26" display="Обхват шеи (в сантиметрах)" xr:uid="{99660E5A-1C53-174C-9298-5AA008ABF5B4}"/>
    <hyperlink ref="A11" r:id="rId27" display="Объем бедер (в сантиметрах)" xr:uid="{0568DA0B-1D65-D14D-BC4D-12467F777C70}"/>
    <hyperlink ref="A9" r:id="rId28" xr:uid="{0B8FC516-C8FD-684B-883C-9A377441D162}"/>
    <hyperlink ref="A13" r:id="rId29" xr:uid="{952FFFA1-60FA-174B-9F99-4B33E6052FD3}"/>
    <hyperlink ref="A45" r:id="rId30" xr:uid="{F973DBD0-AD42-764D-A3C0-D56A29E3F606}"/>
    <hyperlink ref="A46" r:id="rId31" xr:uid="{5E66EBEF-CBA8-654B-B2A9-0D2A2C7C6123}"/>
    <hyperlink ref="A47" r:id="rId32" xr:uid="{F223CDF0-8D33-9541-A0EE-4857E1CAB718}"/>
    <hyperlink ref="A48" r:id="rId33" xr:uid="{3F37D8B1-9BD7-094D-8113-C6098B0AF294}"/>
    <hyperlink ref="A49" r:id="rId34" xr:uid="{0CE29CB9-D1F4-194E-B0B5-D288ED37BF36}"/>
  </hyperlinks>
  <pageMargins left="0.7" right="0.7" top="0.75" bottom="0.75" header="0.3" footer="0.3"/>
  <pageSetup paperSize="9" orientation="portrait" horizontalDpi="0" verticalDpi="0"/>
  <legacyDrawing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МАРКЕРЫ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Dmitrii Veremeenko</dc:creator>
  <cp:lastModifiedBy>Dmitrii Veremeenko</cp:lastModifiedBy>
  <dcterms:created xsi:type="dcterms:W3CDTF">2019-01-08T12:16:39Z</dcterms:created>
  <dcterms:modified xsi:type="dcterms:W3CDTF">2019-01-08T12:21:51Z</dcterms:modified>
</cp:coreProperties>
</file>